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6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ธ ธกส" sheetId="9" r:id="rId9"/>
    <sheet name="คงเหลือ" sheetId="10" r:id="rId10"/>
    <sheet name="โอนลดโอนเพิ่ม" sheetId="11" r:id="rId11"/>
    <sheet name="เงินสะสม" sheetId="12" r:id="rId12"/>
    <sheet name="จ่ายจากรายรับ" sheetId="13" r:id="rId13"/>
    <sheet name="Sheet1" sheetId="14" r:id="rId14"/>
  </sheets>
  <definedNames>
    <definedName name="_xlnm.Print_Area" localSheetId="0">'งบทดลอง'!$A$1:$D$70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<sst xmlns="http://schemas.openxmlformats.org/spreadsheetml/2006/main" count="1355" uniqueCount="543">
  <si>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</si>
  <si>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</si>
  <si>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</si>
  <si>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</si>
  <si>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</si>
  <si>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</si>
  <si>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</si>
  <si>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</si>
  <si>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</si>
  <si>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</si>
  <si>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</si>
  <si>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</si>
  <si>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</si>
  <si>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</si>
  <si>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</si>
  <si>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</si>
  <si>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</si>
  <si>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</si>
  <si>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</si>
  <si>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</si>
  <si>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</si>
  <si>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</si>
  <si>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</si>
  <si>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</si>
  <si>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</si>
  <si>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</si>
  <si>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</si>
  <si>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</si>
  <si>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</si>
  <si>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</si>
  <si>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</si>
  <si>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</si>
  <si>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</si>
  <si>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</si>
  <si>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</si>
  <si>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</si>
  <si>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</si>
  <si>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</si>
  <si>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</si>
  <si>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</si>
  <si>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</si>
  <si>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</si>
  <si>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</si>
  <si>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</si>
  <si>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</si>
  <si>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</si>
  <si>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</si>
  <si>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</si>
  <si>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</si>
  <si>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</si>
  <si>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</si>
  <si>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</si>
  <si>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</si>
  <si>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</si>
  <si>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</si>
  <si>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</si>
  <si>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</si>
  <si>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</si>
  <si>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</si>
  <si>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</si>
  <si>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</si>
  <si>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</si>
  <si>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</si>
  <si>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</si>
  <si>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</si>
  <si>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</si>
  <si>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</si>
  <si>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</si>
  <si>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</si>
  <si>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</si>
  <si>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</si>
  <si>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</si>
  <si>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</si>
  <si>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</si>
  <si>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</si>
  <si>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</si>
  <si>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</si>
  <si>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</si>
  <si>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</si>
  <si>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</si>
  <si>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</si>
  <si>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</si>
  <si>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</si>
  <si>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</si>
  <si>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</si>
  <si>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</si>
  <si>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</si>
  <si>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</si>
  <si>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</si>
  <si>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</si>
  <si>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</si>
  <si>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</si>
  <si>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</si>
  <si>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</si>
  <si>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</si>
  <si>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</si>
  <si>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</si>
  <si>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</si>
  <si>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</si>
  <si>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</si>
  <si>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</si>
  <si>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</si>
  <si>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</si>
  <si>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</si>
  <si>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</si>
  <si>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</si>
  <si>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</si>
  <si>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</si>
  <si>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</si>
  <si>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</si>
  <si>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</si>
  <si>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</si>
  <si>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</si>
  <si>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</si>
  <si>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</si>
  <si>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</si>
  <si>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</si>
  <si>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</si>
  <si>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</si>
  <si>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</si>
  <si>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</si>
  <si>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</si>
  <si>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</si>
  <si>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</si>
  <si>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</si>
  <si>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</si>
  <si>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</si>
  <si>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</si>
  <si>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</si>
  <si>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</si>
  <si>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</si>
  <si>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</si>
  <si>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</si>
  <si>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</si>
  <si>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</si>
  <si>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</si>
  <si>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</si>
  <si>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</si>
  <si>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</si>
  <si>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</si>
  <si>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</si>
  <si>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</si>
  <si>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</si>
  <si>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</si>
  <si>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</si>
  <si>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</si>
  <si>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</si>
  <si>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</si>
  <si>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</si>
  <si>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</si>
  <si>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</si>
  <si>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</si>
  <si>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</si>
  <si>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</si>
  <si>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</si>
  <si>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</si>
  <si>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</si>
  <si>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</si>
  <si>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</si>
  <si>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</si>
  <si>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</si>
  <si>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</si>
  <si>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</si>
  <si>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</si>
  <si>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</si>
  <si>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</si>
  <si>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</si>
  <si>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</si>
  <si>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</si>
  <si>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</si>
  <si>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</si>
  <si>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</si>
  <si>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</si>
  <si>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</si>
  <si>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</si>
  <si>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</si>
  <si>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</si>
  <si>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</si>
  <si>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</si>
  <si>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</si>
  <si>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</si>
  <si>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</si>
  <si>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</si>
  <si>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</si>
  <si>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</si>
  <si>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</si>
  <si>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</si>
  <si>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</si>
  <si>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</si>
  <si>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</si>
  <si>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</si>
  <si>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</si>
  <si>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</si>
  <si>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</si>
  <si>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</si>
  <si>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</si>
  <si>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</si>
  <si>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</si>
  <si>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</si>
  <si>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</si>
  <si>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</si>
  <si>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</si>
  <si>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</si>
  <si>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</si>
  <si>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</si>
  <si>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</si>
  <si>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</si>
  <si>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</si>
  <si>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</si>
  <si>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</si>
  <si>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</si>
  <si>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</si>
  <si>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</si>
  <si>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</si>
  <si>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</si>
  <si>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</si>
  <si>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</si>
  <si>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</si>
  <si>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</si>
  <si>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</si>
  <si>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</si>
  <si>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</si>
  <si>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</si>
  <si>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</si>
  <si>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</si>
  <si>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</si>
  <si>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</si>
  <si>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</si>
  <si>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</si>
  <si>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</si>
  <si>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</si>
  <si>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</si>
  <si>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</si>
  <si>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</si>
  <si>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</si>
  <si>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</si>
  <si>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</si>
  <si>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</si>
  <si>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</si>
  <si>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</si>
  <si>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</si>
  <si>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</si>
  <si>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</si>
  <si>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</si>
  <si>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</si>
  <si>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</si>
  <si>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</si>
  <si>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</si>
  <si>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</si>
  <si>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</si>
  <si>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</si>
  <si>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</si>
  <si>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</si>
  <si>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</si>
  <si>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</si>
  <si>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</si>
  <si>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</si>
  <si>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</si>
  <si>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</si>
  <si>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</si>
  <si>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</si>
  <si>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</si>
  <si>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</si>
  <si>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</si>
  <si>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</si>
  <si>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</si>
  <si>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</si>
  <si>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</si>
  <si>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</si>
  <si>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</si>
  <si>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</si>
  <si>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</si>
  <si>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</si>
  <si>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</si>
  <si>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</si>
  <si>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</si>
  <si>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</si>
  <si>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</si>
  <si>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</si>
  <si>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</si>
  <si>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</si>
  <si>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</si>
  <si>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</si>
  <si>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</si>
  <si>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</si>
  <si>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</si>
  <si>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</si>
  <si>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</si>
  <si>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</si>
  <si>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</si>
  <si>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</si>
  <si>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</si>
  <si>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</si>
  <si>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</si>
  <si>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</si>
  <si>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</si>
  <si>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</si>
  <si>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</si>
  <si>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</si>
  <si>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</si>
  <si>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</si>
  <si>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</si>
  <si>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</si>
  <si>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</si>
  <si>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</si>
  <si>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</si>
  <si>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</si>
  <si>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</si>
  <si>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</si>
  <si>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</si>
  <si>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</si>
  <si>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</si>
  <si>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</si>
  <si>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</si>
  <si>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</si>
  <si>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</si>
  <si>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</si>
  <si>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</si>
  <si>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</si>
  <si>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</si>
  <si>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</si>
  <si>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</si>
  <si>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</si>
  <si>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</si>
  <si>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</si>
  <si>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</si>
  <si>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</si>
  <si>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</si>
  <si>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</si>
  <si>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</si>
  <si>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</si>
  <si>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</si>
  <si>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</si>
  <si>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</si>
  <si>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</si>
  <si>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</si>
  <si>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</si>
  <si>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</si>
  <si>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</si>
  <si>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</si>
  <si>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</si>
  <si>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</si>
  <si>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</si>
  <si>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</si>
  <si>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</si>
  <si>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</si>
  <si>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</si>
  <si>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</si>
  <si>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</si>
  <si>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</si>
  <si>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</si>
  <si>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</si>
  <si>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</si>
  <si>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</si>
  <si>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</si>
  <si>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</si>
  <si>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</si>
  <si>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</si>
  <si>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</si>
  <si>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</si>
  <si>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</si>
  <si>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</si>
  <si>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</si>
  <si>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</si>
  <si>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110606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</si>
  <si>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</si>
  <si>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</si>
  <si>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</si>
  <si>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</si>
  <si>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</si>
  <si>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</si>
  <si>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</si>
  <si>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</si>
  <si>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</si>
  <si>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</si>
  <si>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</si>
  <si>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</si>
  <si>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</si>
  <si>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</si>
  <si>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</si>
  <si>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</si>
  <si>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</si>
  <si>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</si>
  <si>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</si>
  <si>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</si>
  <si>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</si>
  <si>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</si>
  <si>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210402</t>
  </si>
  <si>
    <t>210500</t>
  </si>
  <si>
    <t>รายจ่ายรอจ่าย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</si>
  <si>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</si>
  <si>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</si>
  <si>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21/2557</t>
  </si>
  <si>
    <t>14/2557</t>
  </si>
  <si>
    <t>20/2557</t>
  </si>
  <si>
    <t>15/2557</t>
  </si>
  <si>
    <t>13/2557</t>
  </si>
  <si>
    <t>17/2557</t>
  </si>
  <si>
    <t>กลุ่มปลูกมันสำปะหลัง หมู่ 8</t>
  </si>
  <si>
    <t>19/2557</t>
  </si>
  <si>
    <t>กลุ่มเลี้ยงหมูบ้านคลองยาง ม. 9 (โกรกกัดลิ้น)</t>
  </si>
  <si>
    <t>3/2557</t>
  </si>
  <si>
    <t>18/2557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</si>
  <si>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</si>
  <si>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</si>
  <si>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</si>
  <si>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</si>
  <si>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</si>
  <si>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</si>
  <si>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</si>
  <si>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</si>
  <si>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</si>
  <si>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</si>
  <si>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</si>
  <si>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</si>
  <si>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</si>
  <si>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</si>
  <si>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</si>
  <si>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</si>
  <si>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</si>
  <si>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</si>
  <si>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</si>
  <si>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</si>
  <si>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</si>
  <si>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</si>
  <si>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</si>
  <si>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</si>
  <si>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</si>
  <si>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</si>
  <si>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</si>
  <si>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</si>
  <si>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รายจ่ายเพื่อให้ได้มาซึ่งบริการ-ค่าจ้างเหมายามเฝ้า อบต. เดือน กันยายน 2557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</si>
  <si>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</si>
  <si>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</si>
  <si>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</si>
  <si>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</si>
  <si>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</si>
  <si>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</si>
  <si>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</si>
  <si>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</si>
  <si>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</si>
  <si>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</si>
  <si>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 xml:space="preserve">            รวม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</si>
  <si>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</si>
  <si>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</si>
  <si>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</si>
  <si>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</si>
  <si>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</si>
  <si>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</si>
  <si>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</si>
  <si>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</si>
  <si>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</si>
  <si>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</si>
  <si>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</si>
  <si>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441004</t>
  </si>
  <si>
    <t>441002</t>
  </si>
  <si>
    <t>เงินอุดหนุนทั่วไประบุวัตถุประสงค์-ค่าจ้างพนักงานจ้างศูนย์เด็ก</t>
  </si>
  <si>
    <t>441001</t>
  </si>
  <si>
    <t>เงินอุดหนุนทั่วไประบุวัตถุประสงค์-เพื่อพัฒนาประเทศ</t>
  </si>
  <si>
    <t>441003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</si>
  <si>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</si>
  <si>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</si>
  <si>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>รายได้ที่รัฐบาลอุดหนุนให้โดยระบุวัตถุประสงค์</t>
  </si>
  <si>
    <t>หมวดเงินอุดหนุนทั่วไประบุวัตถุประสงค์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</si>
  <si>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</si>
  <si>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</si>
  <si>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</si>
  <si>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</si>
  <si>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4.เงินอุดหนุนทั่วไประบุวัตถุประสงค์-เพื่อพัฒนาประเทศ</t>
  </si>
  <si>
    <t>5.เงินอุดหนุนทั่วไประบุวัตถุประสงค์-เบี้ยยังชีพผู้สูงอายุ</t>
  </si>
  <si>
    <t>.</t>
  </si>
  <si>
    <t>4/2558</t>
  </si>
  <si>
    <t>กลุ่มทำหินทราย หมู่ 11</t>
  </si>
  <si>
    <t>5/2558</t>
  </si>
  <si>
    <t>6/2558</t>
  </si>
  <si>
    <t>7/2558</t>
  </si>
  <si>
    <t>เงินอุดหนุนทั่วไประบุวัตถุประสงค์-ค่าจ้างพนักงานจ้างศูนย์พัฒนาเด็กเล็ก</t>
  </si>
  <si>
    <t>เงินอุดหนุนทั่วไประบุวัตถุประสงค์-เงินสมทบกองทุนประกันสังคมศูนย์พัฒนาเด็กเล็ก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</si>
  <si>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</si>
  <si>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</si>
  <si>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 xml:space="preserve">           จ่ายเงินอุดหนุนทั่วไประบุวัตถุประสงค์</t>
  </si>
  <si>
    <t/>
  </si>
  <si>
    <t>กลุ่มเกษตรกรปลูกผักเลี้ยงปลา หมู่ 11</t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</si>
  <si>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</si>
  <si>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</si>
  <si>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</si>
  <si>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</si>
  <si>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</si>
  <si>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</si>
  <si>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</si>
  <si>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</si>
  <si>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</si>
  <si>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</si>
  <si>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</si>
  <si>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</si>
  <si>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     จ่ายเงินสะสม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</si>
  <si>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</si>
  <si>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</si>
  <si>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</si>
  <si>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</si>
  <si>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</si>
  <si>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</si>
  <si>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กลุ่มเกษตรทำนา บ้านกุดจอกใหญ่ ม.7</t>
  </si>
  <si>
    <t>รับคืน</t>
  </si>
  <si>
    <t>ค่าที่ดินและสิ่งก่อสร้าง-โครงการก่อสร้างถนนลูกรัง หมู่ 9</t>
  </si>
  <si>
    <t>งบประมาณคงเหลือ</t>
  </si>
  <si>
    <t>รายจ่ายตามงบประมาณ (จ่ายจากรายรับ)</t>
  </si>
  <si>
    <t xml:space="preserve">           รับเงินรับคืน  </t>
  </si>
  <si>
    <t xml:space="preserve">           จ่ายเงินรับคืน</t>
  </si>
  <si>
    <t>เงินอุดหนุนทั่วไประบุวัตถุประสงค์-ค่าใช้จ่ายสำหรับบำบัดฟื้นฟูผู้ติดยาเสพติด</t>
  </si>
  <si>
    <t>441005</t>
  </si>
  <si>
    <t>เงินอุดหนุนทั่วไประบุวัตถุประสงค์-ค่าใช้จ่ายสำหรับฝึกอบรมอาชีพให้แก่ผู้ที่ผ่านการบำบัดฟื้นฟู</t>
  </si>
  <si>
    <t>เงินอุดหนุนทั่วไประบุวัตถุประสงค์-เงินสมทบกองทุนประกันสังคม</t>
  </si>
  <si>
    <t>โครงการกองทุนส่งเสริมการจัดสวัสดิการสังคม ปี 2558</t>
  </si>
  <si>
    <t>เงินอุดหนุนทั่วไประบุวัตถุประสงค์-ค่าใช้จ่ายสำหรับบำบัดฟื้นฟูผู้ติดยาสพติด</t>
  </si>
  <si>
    <t>เงินอุดหนุนทั่วไประบุวัตถุประสงค์-ค่าใช้จ่ายสำหรับฝักอบรมอาชีพให้แก่ผู้ที่ผ่าน</t>
  </si>
  <si>
    <t>การบำบัดฟื้นฟู</t>
  </si>
  <si>
    <t>6.เงินอุดหนุนทั่วไประบุวัตถุประสงค์-ค่าใช้จ่ายสำหรับการบำบัดและ</t>
  </si>
  <si>
    <t xml:space="preserve">   ฟื้นฟูผู้ติดยาเสพติด</t>
  </si>
  <si>
    <t>7.เงินอุดหนุนทั่วไประบุวัตถุประสงค์-ค่าใช้จ่ายสำหรับอาชีพให้แก่</t>
  </si>
  <si>
    <t xml:space="preserve">   ผู้ท่ผ่านการบำบัดฟื้นฟู</t>
  </si>
  <si>
    <t>นักวิชาการเงินและบัญชี</t>
  </si>
  <si>
    <t>เงินอุดหนุนทั่วไประบุวัตถุประสงค์-เงินเดือนพนักงานครูศูนย์พัฒนาเด็กเล็ก</t>
  </si>
  <si>
    <t xml:space="preserve"> 30  เมษายน  2558</t>
  </si>
  <si>
    <t>ณ  วันที่   30  เมษายน  2558</t>
  </si>
  <si>
    <t>หมายเหตุ 1  ประกอบงบทดลอง  ณ  วันที่    30  เมษายน  2558</t>
  </si>
  <si>
    <t>หมายเหตุ 2  ประกอบงบทดลอง  ณ  วันที่    30  เมษายน  2558</t>
  </si>
  <si>
    <t>หมายเหตุ 1 ประกอบรายงานรับ- จ่ายเงินสด ณ วันที่  30  เมษายน  2558</t>
  </si>
  <si>
    <t xml:space="preserve">ประจำเดือน เมษายน  2558 </t>
  </si>
  <si>
    <t>หมายเหตุ 2  ประกอบรายงาน รับ - จ่าย เงินสด  ณ  วันที่  30  เมษายน  2558</t>
  </si>
  <si>
    <t>หมายเหตุ 3  ประกอบรายงาน รับ - จ่าย เงินสด  ณ  วันที่  30  เมษายน  2558</t>
  </si>
  <si>
    <t>หมายเหตุ 4  ประกอบรายงาน รับ - จ่าย เงินสด  ณ  วันที่  30  เมษายน  2558</t>
  </si>
  <si>
    <t>หมายเหตุ 5  ประกอบรายงาน รับ - จ่าย เงินสด  ณ  วันที่  30  เมษายน  2558</t>
  </si>
  <si>
    <t>วันที่  1 เมษายน  2558  ถึง   30  เมษายน  2558</t>
  </si>
  <si>
    <t>เดือน  เมษายน  2558</t>
  </si>
  <si>
    <t>ยอดเงินคงเหลือตามรายงานธนาคาร ณ วันที่  30  เมษายน  2558</t>
  </si>
  <si>
    <t>30 เม.ย. 58</t>
  </si>
  <si>
    <t>09602363</t>
  </si>
  <si>
    <t>09602364</t>
  </si>
  <si>
    <t>ยอดเงินคงเหลือตามบัญชี  ณ  วันที่  30  เมษายน  2558</t>
  </si>
  <si>
    <t>(ลงชื่อ)...................................................วันที่ 30  เมษายน 2558</t>
  </si>
  <si>
    <t>(ลงชื่อ).....................................วันที่  30  เมษายน  2558</t>
  </si>
  <si>
    <t>++++++++++++++++++++++++++++++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</si>
</sst>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3" fontId="14" fillId="0" borderId="4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left"/>
    </xf>
    <xf numFmtId="43" fontId="14" fillId="0" borderId="4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3" fontId="14" fillId="0" borderId="12" xfId="33" applyNumberFormat="1" applyFont="1" applyBorder="1" applyAlignment="1">
      <alignment/>
    </xf>
    <xf numFmtId="49" fontId="14" fillId="0" borderId="44" xfId="0" applyNumberFormat="1" applyFont="1" applyBorder="1" applyAlignment="1">
      <alignment horizontal="center"/>
    </xf>
    <xf numFmtId="43" fontId="14" fillId="0" borderId="32" xfId="0" applyNumberFormat="1" applyFont="1" applyBorder="1" applyAlignment="1" quotePrefix="1">
      <alignment/>
    </xf>
    <xf numFmtId="43" fontId="14" fillId="0" borderId="25" xfId="0" applyNumberFormat="1" applyFont="1" applyBorder="1" applyAlignment="1" quotePrefix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center"/>
    </xf>
    <xf numFmtId="194" fontId="4" fillId="0" borderId="0" xfId="33" applyFont="1" applyAlignment="1">
      <alignment horizontal="left"/>
    </xf>
    <xf numFmtId="0" fontId="4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4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3"/>
  <sheetViews>
    <sheetView view="pageBreakPreview" zoomScaleSheetLayoutView="100" workbookViewId="0" topLeftCell="A43">
      <selection activeCell="B48" sqref="B48"/>
    </sheetView>
  </sheetViews>
  <sheetFormatPr defaultColWidth="9.140625" defaultRowHeight="16.5" customHeight="1"/>
  <cols>
    <col min="1" max="1" width="65.28125" style="198" customWidth="1"/>
    <col min="2" max="2" width="6.57421875" style="211" customWidth="1"/>
    <col min="3" max="3" width="13.28125" style="19" customWidth="1"/>
    <col min="4" max="4" width="14.28125" style="15" customWidth="1"/>
    <col min="5" max="5" width="10.8515625" style="198" bestFit="1" customWidth="1"/>
    <col min="6" max="6" width="11.140625" style="198" bestFit="1" customWidth="1"/>
    <col min="7" max="16384" width="9.140625" style="198" customWidth="1"/>
  </cols>
  <sheetData>
    <row r="1" spans="1:4" ht="16.5" customHeight="1">
      <c r="A1" s="268" t="s">
        <v>0</v>
      </c>
      <c r="B1" s="268"/>
      <c r="C1" s="268"/>
      <c r="D1" s="268"/>
    </row>
    <row r="2" spans="1:4" ht="16.5" customHeight="1">
      <c r="A2" s="268" t="s">
        <v>1</v>
      </c>
      <c r="B2" s="268"/>
      <c r="C2" s="268"/>
      <c r="D2" s="268"/>
    </row>
    <row r="3" spans="1:4" ht="16.5" customHeight="1">
      <c r="A3" s="268" t="s">
        <v>524</v>
      </c>
      <c r="B3" s="268"/>
      <c r="C3" s="268"/>
      <c r="D3" s="268"/>
    </row>
    <row r="4" spans="1:4" s="201" customFormat="1" ht="16.5" customHeight="1">
      <c r="A4" s="199" t="s">
        <v>2</v>
      </c>
      <c r="B4" s="200" t="s">
        <v>3</v>
      </c>
      <c r="C4" s="80" t="s">
        <v>4</v>
      </c>
      <c r="D4" s="7" t="s">
        <v>5</v>
      </c>
    </row>
    <row r="5" spans="1:4" s="201" customFormat="1" ht="16.5" customHeight="1">
      <c r="A5" s="202" t="s">
        <v>97</v>
      </c>
      <c r="B5" s="203" t="s">
        <v>377</v>
      </c>
      <c r="C5" s="139">
        <v>11869</v>
      </c>
      <c r="D5" s="137"/>
    </row>
    <row r="6" spans="1:4" s="201" customFormat="1" ht="16.5" customHeight="1">
      <c r="A6" s="204" t="s">
        <v>378</v>
      </c>
      <c r="B6" s="205" t="s">
        <v>379</v>
      </c>
      <c r="C6" s="82">
        <v>4205665.61</v>
      </c>
      <c r="D6" s="137"/>
    </row>
    <row r="7" spans="1:4" ht="16.5" customHeight="1">
      <c r="A7" s="204" t="s">
        <v>76</v>
      </c>
      <c r="B7" s="205" t="s">
        <v>379</v>
      </c>
      <c r="C7" s="82">
        <v>14726517.88</v>
      </c>
      <c r="D7" s="137"/>
    </row>
    <row r="8" spans="1:4" ht="16.5" customHeight="1">
      <c r="A8" s="204" t="s">
        <v>77</v>
      </c>
      <c r="B8" s="205" t="s">
        <v>379</v>
      </c>
      <c r="C8" s="82">
        <v>104198.04</v>
      </c>
      <c r="D8" s="81"/>
    </row>
    <row r="9" spans="1:4" ht="16.5" customHeight="1">
      <c r="A9" s="204" t="s">
        <v>390</v>
      </c>
      <c r="B9" s="205" t="s">
        <v>379</v>
      </c>
      <c r="C9" s="82">
        <v>5138534.14</v>
      </c>
      <c r="D9" s="81"/>
    </row>
    <row r="10" spans="1:4" ht="16.5" customHeight="1">
      <c r="A10" s="204" t="s">
        <v>78</v>
      </c>
      <c r="B10" s="205" t="s">
        <v>380</v>
      </c>
      <c r="C10" s="82">
        <v>11668823.19</v>
      </c>
      <c r="D10" s="81"/>
    </row>
    <row r="11" spans="1:4" ht="16.5" customHeight="1">
      <c r="A11" s="204" t="s">
        <v>32</v>
      </c>
      <c r="B11" s="205" t="s">
        <v>271</v>
      </c>
      <c r="C11" s="82">
        <v>365190</v>
      </c>
      <c r="D11" s="81"/>
    </row>
    <row r="12" spans="1:4" ht="16.5" customHeight="1">
      <c r="A12" s="204" t="s">
        <v>346</v>
      </c>
      <c r="B12" s="205" t="s">
        <v>277</v>
      </c>
      <c r="C12" s="82">
        <v>1698060</v>
      </c>
      <c r="D12" s="81"/>
    </row>
    <row r="13" spans="1:4" ht="16.5" customHeight="1">
      <c r="A13" s="204" t="s">
        <v>347</v>
      </c>
      <c r="B13" s="205" t="s">
        <v>284</v>
      </c>
      <c r="C13" s="82">
        <v>2389114</v>
      </c>
      <c r="D13" s="81"/>
    </row>
    <row r="14" spans="1:4" ht="16.5" customHeight="1">
      <c r="A14" s="204" t="s">
        <v>348</v>
      </c>
      <c r="B14" s="205" t="s">
        <v>284</v>
      </c>
      <c r="C14" s="82">
        <v>90465</v>
      </c>
      <c r="D14" s="81"/>
    </row>
    <row r="15" spans="1:4" ht="16.5" customHeight="1">
      <c r="A15" s="204" t="s">
        <v>349</v>
      </c>
      <c r="B15" s="205" t="s">
        <v>284</v>
      </c>
      <c r="C15" s="82">
        <v>719369</v>
      </c>
      <c r="D15" s="81"/>
    </row>
    <row r="16" spans="1:4" ht="16.5" customHeight="1">
      <c r="A16" s="204" t="s">
        <v>6</v>
      </c>
      <c r="B16" s="205" t="s">
        <v>292</v>
      </c>
      <c r="C16" s="82">
        <v>181580</v>
      </c>
      <c r="D16" s="81"/>
    </row>
    <row r="17" spans="1:4" ht="16.5" customHeight="1">
      <c r="A17" s="204" t="s">
        <v>7</v>
      </c>
      <c r="B17" s="205" t="s">
        <v>298</v>
      </c>
      <c r="C17" s="82">
        <v>1595659.1</v>
      </c>
      <c r="D17" s="81"/>
    </row>
    <row r="18" spans="1:4" ht="16.5" customHeight="1">
      <c r="A18" s="204" t="s">
        <v>8</v>
      </c>
      <c r="B18" s="205" t="s">
        <v>303</v>
      </c>
      <c r="C18" s="82">
        <v>789567.17</v>
      </c>
      <c r="D18" s="81"/>
    </row>
    <row r="19" spans="1:4" ht="16.5" customHeight="1">
      <c r="A19" s="204" t="s">
        <v>9</v>
      </c>
      <c r="B19" s="205" t="s">
        <v>316</v>
      </c>
      <c r="C19" s="82">
        <v>126469.21</v>
      </c>
      <c r="D19" s="81"/>
    </row>
    <row r="20" spans="1:4" ht="16.5" customHeight="1">
      <c r="A20" s="202" t="s">
        <v>56</v>
      </c>
      <c r="B20" s="205" t="s">
        <v>322</v>
      </c>
      <c r="C20" s="82">
        <v>73410.45</v>
      </c>
      <c r="D20" s="81"/>
    </row>
    <row r="21" spans="1:4" ht="16.5" customHeight="1">
      <c r="A21" s="202" t="s">
        <v>33</v>
      </c>
      <c r="B21" s="205" t="s">
        <v>335</v>
      </c>
      <c r="C21" s="82">
        <v>1074240</v>
      </c>
      <c r="D21" s="81"/>
    </row>
    <row r="22" spans="1:4" ht="16.5" customHeight="1">
      <c r="A22" s="204" t="s">
        <v>350</v>
      </c>
      <c r="B22" s="205" t="s">
        <v>381</v>
      </c>
      <c r="C22" s="82">
        <v>1772.88</v>
      </c>
      <c r="D22" s="81"/>
    </row>
    <row r="23" spans="1:4" ht="16.5" customHeight="1">
      <c r="A23" s="202" t="s">
        <v>386</v>
      </c>
      <c r="B23" s="205" t="s">
        <v>362</v>
      </c>
      <c r="C23" s="82">
        <v>1031560</v>
      </c>
      <c r="D23" s="81"/>
    </row>
    <row r="24" spans="1:4" ht="16.5" customHeight="1">
      <c r="A24" s="204" t="s">
        <v>522</v>
      </c>
      <c r="B24" s="205" t="s">
        <v>457</v>
      </c>
      <c r="C24" s="82">
        <v>46836</v>
      </c>
      <c r="D24" s="81"/>
    </row>
    <row r="25" spans="1:4" ht="16.5" customHeight="1">
      <c r="A25" s="204" t="s">
        <v>456</v>
      </c>
      <c r="B25" s="205" t="s">
        <v>457</v>
      </c>
      <c r="C25" s="82">
        <v>107949</v>
      </c>
      <c r="D25" s="81"/>
    </row>
    <row r="26" spans="1:4" ht="16.5" customHeight="1">
      <c r="A26" s="204" t="s">
        <v>512</v>
      </c>
      <c r="B26" s="205" t="s">
        <v>455</v>
      </c>
      <c r="C26" s="82">
        <v>5350</v>
      </c>
      <c r="D26" s="81"/>
    </row>
    <row r="27" spans="1:4" ht="16.5" customHeight="1">
      <c r="A27" s="202" t="s">
        <v>11</v>
      </c>
      <c r="B27" s="205" t="s">
        <v>382</v>
      </c>
      <c r="C27" s="82"/>
      <c r="D27" s="81">
        <v>16209937.11</v>
      </c>
    </row>
    <row r="28" spans="1:4" ht="16.5" customHeight="1">
      <c r="A28" s="204" t="s">
        <v>389</v>
      </c>
      <c r="B28" s="205" t="s">
        <v>388</v>
      </c>
      <c r="C28" s="82"/>
      <c r="D28" s="138">
        <v>64135</v>
      </c>
    </row>
    <row r="29" spans="1:4" ht="16.5" customHeight="1">
      <c r="A29" s="204" t="s">
        <v>352</v>
      </c>
      <c r="B29" s="205" t="s">
        <v>363</v>
      </c>
      <c r="C29" s="82"/>
      <c r="D29" s="136">
        <v>1552094.57</v>
      </c>
    </row>
    <row r="30" spans="1:4" ht="16.5" customHeight="1">
      <c r="A30" s="204" t="s">
        <v>10</v>
      </c>
      <c r="B30" s="205" t="s">
        <v>383</v>
      </c>
      <c r="C30" s="82"/>
      <c r="D30" s="81">
        <v>13992594.54</v>
      </c>
    </row>
    <row r="31" spans="1:4" ht="16.5" customHeight="1">
      <c r="A31" s="204" t="s">
        <v>134</v>
      </c>
      <c r="B31" s="205" t="s">
        <v>384</v>
      </c>
      <c r="C31" s="82"/>
      <c r="D31" s="81">
        <v>12809280.45</v>
      </c>
    </row>
    <row r="32" spans="1:4" ht="16.5" customHeight="1">
      <c r="A32" s="204" t="s">
        <v>452</v>
      </c>
      <c r="B32" s="205" t="s">
        <v>454</v>
      </c>
      <c r="C32" s="82"/>
      <c r="D32" s="81">
        <v>82400</v>
      </c>
    </row>
    <row r="33" spans="1:4" ht="16.5" customHeight="1">
      <c r="A33" s="204" t="s">
        <v>453</v>
      </c>
      <c r="B33" s="205" t="s">
        <v>455</v>
      </c>
      <c r="C33" s="82"/>
      <c r="D33" s="81">
        <v>50400</v>
      </c>
    </row>
    <row r="34" spans="1:4" ht="16.5" customHeight="1">
      <c r="A34" s="204" t="s">
        <v>461</v>
      </c>
      <c r="B34" s="205" t="s">
        <v>457</v>
      </c>
      <c r="C34" s="82"/>
      <c r="D34" s="81">
        <v>210675</v>
      </c>
    </row>
    <row r="35" spans="1:4" ht="16.5" customHeight="1">
      <c r="A35" s="204" t="s">
        <v>458</v>
      </c>
      <c r="B35" s="205" t="s">
        <v>459</v>
      </c>
      <c r="C35" s="82"/>
      <c r="D35" s="81">
        <v>1049248</v>
      </c>
    </row>
    <row r="36" spans="1:4" ht="16.5" customHeight="1">
      <c r="A36" s="204" t="s">
        <v>460</v>
      </c>
      <c r="B36" s="205" t="s">
        <v>457</v>
      </c>
      <c r="C36" s="82"/>
      <c r="D36" s="81">
        <v>71435</v>
      </c>
    </row>
    <row r="37" spans="1:4" ht="16.5" customHeight="1">
      <c r="A37" s="204" t="s">
        <v>509</v>
      </c>
      <c r="B37" s="205" t="s">
        <v>510</v>
      </c>
      <c r="C37" s="82"/>
      <c r="D37" s="81">
        <v>35000</v>
      </c>
    </row>
    <row r="38" spans="1:4" ht="16.5" customHeight="1">
      <c r="A38" s="204" t="s">
        <v>511</v>
      </c>
      <c r="B38" s="205" t="s">
        <v>510</v>
      </c>
      <c r="C38" s="82"/>
      <c r="D38" s="81">
        <v>25000</v>
      </c>
    </row>
    <row r="39" spans="1:4" ht="16.5" customHeight="1">
      <c r="A39" s="204"/>
      <c r="B39" s="206"/>
      <c r="C39" s="82"/>
      <c r="D39" s="82"/>
    </row>
    <row r="40" spans="2:5" ht="16.5" customHeight="1">
      <c r="B40" s="207"/>
      <c r="C40" s="13">
        <f>SUM(C5:C39)</f>
        <v>46152199.67000001</v>
      </c>
      <c r="D40" s="14">
        <f>SUM(D27:D39)</f>
        <v>46152199.67</v>
      </c>
      <c r="E40" s="208"/>
    </row>
    <row r="41" spans="2:5" ht="16.5" customHeight="1">
      <c r="B41" s="207"/>
      <c r="C41" s="255"/>
      <c r="E41" s="204"/>
    </row>
    <row r="42" spans="2:5" ht="16.5" customHeight="1">
      <c r="B42" s="207"/>
      <c r="C42" s="255"/>
      <c r="E42" s="204"/>
    </row>
    <row r="43" spans="1:4" ht="16.5" customHeight="1">
      <c r="A43" s="270" t="s">
        <v>127</v>
      </c>
      <c r="B43" s="270"/>
      <c r="C43" s="270"/>
      <c r="D43" s="270"/>
    </row>
    <row r="44" spans="1:4" ht="16.5" customHeight="1">
      <c r="A44" s="270" t="s">
        <v>128</v>
      </c>
      <c r="B44" s="270"/>
      <c r="C44" s="270"/>
      <c r="D44" s="270"/>
    </row>
    <row r="45" spans="1:4" ht="16.5" customHeight="1">
      <c r="A45" s="210" t="s">
        <v>126</v>
      </c>
      <c r="B45" s="209"/>
      <c r="C45" s="17"/>
      <c r="D45" s="17"/>
    </row>
    <row r="46" spans="1:4" ht="16.5" customHeight="1">
      <c r="A46" s="210"/>
      <c r="B46" s="209"/>
      <c r="C46" s="17"/>
      <c r="D46" s="17"/>
    </row>
    <row r="47" spans="1:4" ht="16.5" customHeight="1">
      <c r="A47" s="201" t="s">
        <v>125</v>
      </c>
      <c r="B47" s="201"/>
      <c r="C47" s="8"/>
      <c r="D47" s="8"/>
    </row>
    <row r="48" spans="1:4" ht="16.5" customHeight="1">
      <c r="A48" s="201" t="s">
        <v>15</v>
      </c>
      <c r="B48" s="201"/>
      <c r="C48" s="8"/>
      <c r="D48" s="8"/>
    </row>
    <row r="49" spans="1:4" ht="16.5" customHeight="1">
      <c r="A49" s="197" t="s">
        <v>523</v>
      </c>
      <c r="B49" s="197"/>
      <c r="C49" s="125"/>
      <c r="D49" s="125"/>
    </row>
    <row r="50" spans="1:4" ht="16.5" customHeight="1">
      <c r="A50" s="197"/>
      <c r="B50" s="197"/>
      <c r="C50" s="125"/>
      <c r="D50" s="125"/>
    </row>
    <row r="51" spans="1:4" ht="16.5" customHeight="1">
      <c r="A51" s="197"/>
      <c r="B51" s="197"/>
      <c r="C51" s="125"/>
      <c r="D51" s="125"/>
    </row>
    <row r="52" spans="1:4" ht="16.5" customHeight="1">
      <c r="A52" s="197"/>
      <c r="B52" s="197"/>
      <c r="C52" s="125"/>
      <c r="D52" s="125"/>
    </row>
    <row r="53" spans="1:4" ht="16.5" customHeight="1">
      <c r="A53" s="197"/>
      <c r="B53" s="197"/>
      <c r="C53" s="125"/>
      <c r="D53" s="125"/>
    </row>
    <row r="54" spans="1:4" ht="16.5" customHeight="1">
      <c r="A54" s="197"/>
      <c r="B54" s="197"/>
      <c r="C54" s="125"/>
      <c r="D54" s="125"/>
    </row>
    <row r="55" spans="1:4" ht="16.5" customHeight="1">
      <c r="A55" s="269" t="s">
        <v>525</v>
      </c>
      <c r="B55" s="269"/>
      <c r="C55" s="269"/>
      <c r="D55" s="269"/>
    </row>
    <row r="56" spans="1:4" ht="16.5" customHeight="1">
      <c r="A56" s="269" t="s">
        <v>17</v>
      </c>
      <c r="B56" s="269"/>
      <c r="C56" s="269"/>
      <c r="D56" s="269"/>
    </row>
    <row r="57" spans="1:4" ht="16.5" customHeight="1">
      <c r="A57" s="210" t="s">
        <v>18</v>
      </c>
      <c r="B57" s="201"/>
      <c r="C57" s="8"/>
      <c r="D57" s="85">
        <v>349970</v>
      </c>
    </row>
    <row r="58" spans="1:4" ht="16.5" customHeight="1">
      <c r="A58" s="210" t="s">
        <v>391</v>
      </c>
      <c r="B58" s="201"/>
      <c r="C58" s="8"/>
      <c r="D58" s="85">
        <v>12239.25</v>
      </c>
    </row>
    <row r="59" spans="1:4" ht="16.5" customHeight="1">
      <c r="A59" s="198" t="s">
        <v>19</v>
      </c>
      <c r="D59" s="15">
        <v>6773.28</v>
      </c>
    </row>
    <row r="60" spans="1:4" ht="16.5" customHeight="1">
      <c r="A60" s="210" t="s">
        <v>79</v>
      </c>
      <c r="D60" s="15">
        <v>1135758.04</v>
      </c>
    </row>
    <row r="61" spans="1:4" ht="16.5" customHeight="1">
      <c r="A61" s="204" t="s">
        <v>513</v>
      </c>
      <c r="D61" s="15">
        <v>26100</v>
      </c>
    </row>
    <row r="62" spans="1:4" ht="16.5" customHeight="1">
      <c r="A62" s="204" t="s">
        <v>486</v>
      </c>
      <c r="D62" s="15">
        <v>21254</v>
      </c>
    </row>
    <row r="63" ht="16.5" customHeight="1">
      <c r="A63" s="204"/>
    </row>
    <row r="64" spans="1:4" ht="16.5" customHeight="1">
      <c r="A64" s="213" t="s">
        <v>20</v>
      </c>
      <c r="D64" s="20">
        <f>SUM(D57:D63)</f>
        <v>1552094.57</v>
      </c>
    </row>
    <row r="65" spans="1:4" ht="16.5" customHeight="1">
      <c r="A65" s="213"/>
      <c r="D65" s="20"/>
    </row>
    <row r="66" spans="1:4" ht="16.5" customHeight="1">
      <c r="A66" s="213"/>
      <c r="D66" s="20"/>
    </row>
    <row r="67" spans="1:4" ht="16.5" customHeight="1">
      <c r="A67" s="213"/>
      <c r="D67" s="20"/>
    </row>
    <row r="68" spans="1:4" ht="16.5" customHeight="1">
      <c r="A68" s="213"/>
      <c r="D68" s="20"/>
    </row>
    <row r="69" spans="1:4" ht="16.5" customHeight="1">
      <c r="A69" s="213"/>
      <c r="D69" s="20"/>
    </row>
    <row r="70" spans="1:4" ht="16.5" customHeight="1">
      <c r="A70" s="201"/>
      <c r="D70" s="20"/>
    </row>
    <row r="71" spans="2:4" ht="16.5" customHeight="1">
      <c r="B71" s="198"/>
      <c r="C71" s="6"/>
      <c r="D71" s="6"/>
    </row>
    <row r="72" spans="2:4" ht="16.5" customHeight="1">
      <c r="B72" s="198"/>
      <c r="C72" s="6"/>
      <c r="D72" s="6"/>
    </row>
    <row r="73" spans="2:4" ht="16.5" customHeight="1">
      <c r="B73" s="198"/>
      <c r="C73" s="6"/>
      <c r="D73" s="6"/>
    </row>
    <row r="74" spans="2:4" ht="16.5" customHeight="1">
      <c r="B74" s="198"/>
      <c r="C74" s="6"/>
      <c r="D74" s="6"/>
    </row>
    <row r="75" spans="2:4" ht="16.5" customHeight="1">
      <c r="B75" s="198"/>
      <c r="C75" s="6"/>
      <c r="D75" s="6"/>
    </row>
    <row r="76" spans="2:4" ht="16.5" customHeight="1">
      <c r="B76" s="198"/>
      <c r="C76" s="6"/>
      <c r="D76" s="6"/>
    </row>
    <row r="77" spans="2:4" ht="16.5" customHeight="1">
      <c r="B77" s="198"/>
      <c r="C77" s="6"/>
      <c r="D77" s="6"/>
    </row>
    <row r="78" spans="2:4" ht="16.5" customHeight="1">
      <c r="B78" s="198"/>
      <c r="C78" s="6"/>
      <c r="D78" s="6"/>
    </row>
    <row r="79" spans="2:4" ht="16.5" customHeight="1">
      <c r="B79" s="198"/>
      <c r="C79" s="6"/>
      <c r="D79" s="6"/>
    </row>
    <row r="80" spans="2:4" ht="16.5" customHeight="1">
      <c r="B80" s="198"/>
      <c r="C80" s="6"/>
      <c r="D80" s="6"/>
    </row>
    <row r="81" spans="2:4" ht="16.5" customHeight="1">
      <c r="B81" s="198"/>
      <c r="C81" s="6"/>
      <c r="D81" s="6"/>
    </row>
    <row r="82" spans="2:4" ht="16.5" customHeight="1">
      <c r="B82" s="198"/>
      <c r="C82" s="6"/>
      <c r="D82" s="6"/>
    </row>
    <row r="83" spans="2:4" ht="16.5" customHeight="1">
      <c r="B83" s="198"/>
      <c r="C83" s="6"/>
      <c r="D83" s="6"/>
    </row>
    <row r="84" spans="2:4" ht="16.5" customHeight="1">
      <c r="B84" s="198"/>
      <c r="C84" s="6"/>
      <c r="D84" s="6"/>
    </row>
    <row r="85" spans="2:4" ht="16.5" customHeight="1">
      <c r="B85" s="198"/>
      <c r="C85" s="6"/>
      <c r="D85" s="6"/>
    </row>
    <row r="86" spans="2:4" ht="16.5" customHeight="1">
      <c r="B86" s="198"/>
      <c r="C86" s="6"/>
      <c r="D86" s="6"/>
    </row>
    <row r="87" spans="2:4" ht="16.5" customHeight="1">
      <c r="B87" s="198"/>
      <c r="C87" s="6"/>
      <c r="D87" s="6"/>
    </row>
    <row r="88" spans="2:4" ht="16.5" customHeight="1">
      <c r="B88" s="198"/>
      <c r="C88" s="6"/>
      <c r="D88" s="6"/>
    </row>
    <row r="89" spans="2:4" ht="16.5" customHeight="1">
      <c r="B89" s="198"/>
      <c r="C89" s="6"/>
      <c r="D89" s="6"/>
    </row>
    <row r="90" spans="2:4" ht="16.5" customHeight="1">
      <c r="B90" s="198"/>
      <c r="C90" s="6"/>
      <c r="D90" s="6"/>
    </row>
    <row r="91" spans="2:4" ht="16.5" customHeight="1">
      <c r="B91" s="198"/>
      <c r="C91" s="6"/>
      <c r="D91" s="6"/>
    </row>
    <row r="92" spans="2:4" ht="16.5" customHeight="1">
      <c r="B92" s="198"/>
      <c r="C92" s="6"/>
      <c r="D92" s="6"/>
    </row>
    <row r="93" spans="2:4" ht="16.5" customHeight="1">
      <c r="B93" s="198"/>
      <c r="C93" s="6"/>
      <c r="D93" s="6"/>
    </row>
    <row r="94" spans="2:4" ht="16.5" customHeight="1">
      <c r="B94" s="198"/>
      <c r="C94" s="6"/>
      <c r="D94" s="6"/>
    </row>
    <row r="95" spans="2:4" ht="16.5" customHeight="1">
      <c r="B95" s="198"/>
      <c r="C95" s="6"/>
      <c r="D95" s="6"/>
    </row>
    <row r="96" spans="2:4" ht="16.5" customHeight="1">
      <c r="B96" s="198"/>
      <c r="C96" s="6"/>
      <c r="D96" s="6"/>
    </row>
    <row r="97" spans="2:4" ht="16.5" customHeight="1">
      <c r="B97" s="198"/>
      <c r="C97" s="6"/>
      <c r="D97" s="6"/>
    </row>
    <row r="98" spans="2:4" ht="16.5" customHeight="1">
      <c r="B98" s="198"/>
      <c r="C98" s="6"/>
      <c r="D98" s="6"/>
    </row>
    <row r="99" spans="2:4" ht="16.5" customHeight="1">
      <c r="B99" s="198"/>
      <c r="C99" s="6"/>
      <c r="D99" s="6"/>
    </row>
    <row r="100" spans="2:4" ht="16.5" customHeight="1">
      <c r="B100" s="198"/>
      <c r="C100" s="6"/>
      <c r="D100" s="6"/>
    </row>
    <row r="101" spans="2:4" ht="16.5" customHeight="1">
      <c r="B101" s="198"/>
      <c r="C101" s="6"/>
      <c r="D101" s="6"/>
    </row>
    <row r="102" spans="2:4" ht="16.5" customHeight="1">
      <c r="B102" s="198"/>
      <c r="C102" s="6"/>
      <c r="D102" s="6"/>
    </row>
    <row r="103" spans="2:4" ht="16.5" customHeight="1">
      <c r="B103" s="198"/>
      <c r="C103" s="6"/>
      <c r="D103" s="6"/>
    </row>
    <row r="104" spans="2:4" ht="16.5" customHeight="1">
      <c r="B104" s="198"/>
      <c r="C104" s="6"/>
      <c r="D104" s="6"/>
    </row>
    <row r="105" spans="2:4" ht="16.5" customHeight="1">
      <c r="B105" s="198"/>
      <c r="C105" s="6"/>
      <c r="D105" s="6"/>
    </row>
    <row r="106" spans="2:4" ht="16.5" customHeight="1">
      <c r="B106" s="198"/>
      <c r="C106" s="6"/>
      <c r="D106" s="6"/>
    </row>
    <row r="107" spans="2:4" ht="16.5" customHeight="1">
      <c r="B107" s="198"/>
      <c r="C107" s="6"/>
      <c r="D107" s="6"/>
    </row>
    <row r="108" spans="2:4" ht="16.5" customHeight="1">
      <c r="B108" s="198"/>
      <c r="C108" s="6"/>
      <c r="D108" s="6"/>
    </row>
    <row r="109" spans="2:4" ht="16.5" customHeight="1">
      <c r="B109" s="198"/>
      <c r="C109" s="6"/>
      <c r="D109" s="6"/>
    </row>
    <row r="110" spans="2:4" ht="16.5" customHeight="1">
      <c r="B110" s="198"/>
      <c r="C110" s="6"/>
      <c r="D110" s="6"/>
    </row>
    <row r="111" spans="2:4" ht="16.5" customHeight="1">
      <c r="B111" s="198"/>
      <c r="C111" s="6"/>
      <c r="D111" s="6"/>
    </row>
    <row r="112" spans="2:4" ht="16.5" customHeight="1">
      <c r="B112" s="198"/>
      <c r="C112" s="6"/>
      <c r="D112" s="6"/>
    </row>
    <row r="113" spans="2:4" ht="16.5" customHeight="1">
      <c r="B113" s="198"/>
      <c r="C113" s="6"/>
      <c r="D113" s="6"/>
    </row>
    <row r="114" spans="2:4" ht="16.5" customHeight="1">
      <c r="B114" s="198"/>
      <c r="C114" s="6"/>
      <c r="D114" s="6"/>
    </row>
    <row r="115" spans="2:4" ht="16.5" customHeight="1">
      <c r="B115" s="198"/>
      <c r="C115" s="6"/>
      <c r="D115" s="6"/>
    </row>
    <row r="116" spans="2:4" ht="16.5" customHeight="1">
      <c r="B116" s="198"/>
      <c r="C116" s="6"/>
      <c r="D116" s="6"/>
    </row>
    <row r="117" spans="2:4" ht="16.5" customHeight="1">
      <c r="B117" s="198"/>
      <c r="C117" s="6"/>
      <c r="D117" s="6"/>
    </row>
    <row r="118" spans="2:4" ht="16.5" customHeight="1">
      <c r="B118" s="198"/>
      <c r="C118" s="6"/>
      <c r="D118" s="6"/>
    </row>
    <row r="119" spans="2:4" ht="16.5" customHeight="1">
      <c r="B119" s="198"/>
      <c r="C119" s="6"/>
      <c r="D119" s="6"/>
    </row>
    <row r="120" spans="2:4" ht="16.5" customHeight="1">
      <c r="B120" s="198"/>
      <c r="C120" s="6"/>
      <c r="D120" s="6"/>
    </row>
    <row r="121" spans="2:4" ht="16.5" customHeight="1">
      <c r="B121" s="198"/>
      <c r="C121" s="6"/>
      <c r="D121" s="6"/>
    </row>
    <row r="122" spans="2:4" ht="16.5" customHeight="1">
      <c r="B122" s="198"/>
      <c r="C122" s="6"/>
      <c r="D122" s="6"/>
    </row>
    <row r="123" spans="2:4" ht="16.5" customHeight="1">
      <c r="B123" s="198"/>
      <c r="C123" s="6"/>
      <c r="D123" s="6"/>
    </row>
    <row r="124" spans="2:4" ht="16.5" customHeight="1">
      <c r="B124" s="198"/>
      <c r="C124" s="6"/>
      <c r="D124" s="6"/>
    </row>
    <row r="125" spans="2:4" ht="16.5" customHeight="1">
      <c r="B125" s="198"/>
      <c r="C125" s="6"/>
      <c r="D125" s="6"/>
    </row>
    <row r="126" spans="2:4" ht="16.5" customHeight="1">
      <c r="B126" s="198"/>
      <c r="C126" s="6"/>
      <c r="D126" s="6"/>
    </row>
    <row r="127" spans="2:4" ht="16.5" customHeight="1">
      <c r="B127" s="198"/>
      <c r="C127" s="6"/>
      <c r="D127" s="6"/>
    </row>
    <row r="128" spans="2:4" ht="16.5" customHeight="1">
      <c r="B128" s="198"/>
      <c r="C128" s="6"/>
      <c r="D128" s="6"/>
    </row>
    <row r="129" spans="2:4" ht="16.5" customHeight="1">
      <c r="B129" s="198"/>
      <c r="C129" s="6"/>
      <c r="D129" s="6"/>
    </row>
    <row r="130" spans="2:4" ht="16.5" customHeight="1">
      <c r="B130" s="198"/>
      <c r="C130" s="6"/>
      <c r="D130" s="6"/>
    </row>
    <row r="131" spans="2:4" ht="16.5" customHeight="1">
      <c r="B131" s="198"/>
      <c r="C131" s="6"/>
      <c r="D131" s="6"/>
    </row>
    <row r="132" spans="2:4" ht="16.5" customHeight="1">
      <c r="B132" s="198"/>
      <c r="C132" s="6"/>
      <c r="D132" s="6"/>
    </row>
    <row r="133" spans="2:4" ht="16.5" customHeight="1">
      <c r="B133" s="198"/>
      <c r="C133" s="6"/>
      <c r="D133" s="6"/>
    </row>
    <row r="134" spans="2:4" ht="16.5" customHeight="1">
      <c r="B134" s="198"/>
      <c r="C134" s="6"/>
      <c r="D134" s="6"/>
    </row>
    <row r="135" spans="2:4" ht="16.5" customHeight="1">
      <c r="B135" s="198"/>
      <c r="C135" s="6"/>
      <c r="D135" s="6"/>
    </row>
    <row r="136" spans="2:4" ht="16.5" customHeight="1">
      <c r="B136" s="198"/>
      <c r="C136" s="6"/>
      <c r="D136" s="6"/>
    </row>
    <row r="137" spans="2:4" ht="16.5" customHeight="1">
      <c r="B137" s="198"/>
      <c r="C137" s="6"/>
      <c r="D137" s="6"/>
    </row>
    <row r="138" spans="2:4" ht="16.5" customHeight="1">
      <c r="B138" s="198"/>
      <c r="C138" s="6"/>
      <c r="D138" s="6"/>
    </row>
    <row r="139" spans="2:4" ht="16.5" customHeight="1">
      <c r="B139" s="198"/>
      <c r="C139" s="6"/>
      <c r="D139" s="6"/>
    </row>
    <row r="140" spans="2:4" ht="16.5" customHeight="1">
      <c r="B140" s="198"/>
      <c r="C140" s="6"/>
      <c r="D140" s="6"/>
    </row>
    <row r="141" spans="2:4" ht="16.5" customHeight="1">
      <c r="B141" s="198"/>
      <c r="C141" s="6"/>
      <c r="D141" s="6"/>
    </row>
    <row r="142" spans="2:4" ht="16.5" customHeight="1">
      <c r="B142" s="198"/>
      <c r="C142" s="6"/>
      <c r="D142" s="6"/>
    </row>
    <row r="143" spans="2:4" ht="16.5" customHeight="1">
      <c r="B143" s="198"/>
      <c r="C143" s="6"/>
      <c r="D143" s="6"/>
    </row>
    <row r="144" spans="2:4" ht="16.5" customHeight="1">
      <c r="B144" s="198"/>
      <c r="C144" s="6"/>
      <c r="D144" s="6"/>
    </row>
    <row r="145" spans="2:4" ht="16.5" customHeight="1">
      <c r="B145" s="198"/>
      <c r="C145" s="6"/>
      <c r="D145" s="6"/>
    </row>
    <row r="146" spans="2:4" ht="16.5" customHeight="1">
      <c r="B146" s="198"/>
      <c r="C146" s="6"/>
      <c r="D146" s="6"/>
    </row>
    <row r="147" spans="2:4" ht="16.5" customHeight="1">
      <c r="B147" s="198"/>
      <c r="C147" s="6"/>
      <c r="D147" s="6"/>
    </row>
    <row r="148" spans="2:4" ht="16.5" customHeight="1">
      <c r="B148" s="198"/>
      <c r="C148" s="6"/>
      <c r="D148" s="6"/>
    </row>
    <row r="149" spans="2:4" ht="16.5" customHeight="1">
      <c r="B149" s="198"/>
      <c r="C149" s="6"/>
      <c r="D149" s="6"/>
    </row>
    <row r="150" spans="2:4" ht="16.5" customHeight="1">
      <c r="B150" s="198"/>
      <c r="C150" s="6"/>
      <c r="D150" s="6"/>
    </row>
    <row r="151" spans="2:4" ht="16.5" customHeight="1">
      <c r="B151" s="198"/>
      <c r="C151" s="6"/>
      <c r="D151" s="6"/>
    </row>
    <row r="152" spans="2:4" ht="16.5" customHeight="1">
      <c r="B152" s="198"/>
      <c r="C152" s="6"/>
      <c r="D152" s="6"/>
    </row>
    <row r="153" spans="2:4" ht="16.5" customHeight="1">
      <c r="B153" s="198"/>
      <c r="C153" s="6"/>
      <c r="D153" s="6"/>
    </row>
    <row r="154" spans="2:4" ht="16.5" customHeight="1">
      <c r="B154" s="198"/>
      <c r="C154" s="6"/>
      <c r="D154" s="6"/>
    </row>
    <row r="155" spans="2:4" ht="16.5" customHeight="1">
      <c r="B155" s="198"/>
      <c r="C155" s="6"/>
      <c r="D155" s="6"/>
    </row>
    <row r="156" spans="2:4" ht="16.5" customHeight="1">
      <c r="B156" s="198"/>
      <c r="C156" s="6"/>
      <c r="D156" s="6"/>
    </row>
    <row r="157" spans="2:4" ht="16.5" customHeight="1">
      <c r="B157" s="198"/>
      <c r="C157" s="6"/>
      <c r="D157" s="6"/>
    </row>
    <row r="158" spans="2:4" ht="16.5" customHeight="1">
      <c r="B158" s="198"/>
      <c r="C158" s="6"/>
      <c r="D158" s="6"/>
    </row>
    <row r="159" spans="2:4" ht="16.5" customHeight="1">
      <c r="B159" s="198"/>
      <c r="C159" s="6"/>
      <c r="D159" s="6"/>
    </row>
    <row r="160" spans="2:4" ht="16.5" customHeight="1">
      <c r="B160" s="198"/>
      <c r="C160" s="6"/>
      <c r="D160" s="6"/>
    </row>
    <row r="161" spans="2:4" ht="16.5" customHeight="1">
      <c r="B161" s="198"/>
      <c r="C161" s="6"/>
      <c r="D161" s="6"/>
    </row>
    <row r="162" spans="2:4" ht="16.5" customHeight="1">
      <c r="B162" s="198"/>
      <c r="C162" s="6"/>
      <c r="D162" s="6"/>
    </row>
    <row r="163" spans="2:4" ht="16.5" customHeight="1">
      <c r="B163" s="198"/>
      <c r="C163" s="6"/>
      <c r="D163" s="6"/>
    </row>
    <row r="164" spans="2:4" ht="16.5" customHeight="1">
      <c r="B164" s="198"/>
      <c r="C164" s="6"/>
      <c r="D164" s="6"/>
    </row>
    <row r="165" spans="2:4" ht="16.5" customHeight="1">
      <c r="B165" s="198"/>
      <c r="C165" s="6"/>
      <c r="D165" s="6"/>
    </row>
    <row r="166" spans="2:4" ht="16.5" customHeight="1">
      <c r="B166" s="198"/>
      <c r="C166" s="6"/>
      <c r="D166" s="6"/>
    </row>
    <row r="167" spans="2:4" ht="16.5" customHeight="1">
      <c r="B167" s="198"/>
      <c r="C167" s="6"/>
      <c r="D167" s="6"/>
    </row>
    <row r="168" spans="2:4" ht="16.5" customHeight="1">
      <c r="B168" s="198"/>
      <c r="C168" s="6"/>
      <c r="D168" s="6"/>
    </row>
    <row r="169" spans="2:4" ht="16.5" customHeight="1">
      <c r="B169" s="198"/>
      <c r="C169" s="6"/>
      <c r="D169" s="6"/>
    </row>
    <row r="170" spans="2:4" ht="16.5" customHeight="1">
      <c r="B170" s="198"/>
      <c r="C170" s="6"/>
      <c r="D170" s="6"/>
    </row>
    <row r="171" spans="2:4" ht="16.5" customHeight="1">
      <c r="B171" s="198"/>
      <c r="C171" s="6"/>
      <c r="D171" s="6"/>
    </row>
    <row r="172" spans="2:4" ht="16.5" customHeight="1">
      <c r="B172" s="198"/>
      <c r="C172" s="6"/>
      <c r="D172" s="6"/>
    </row>
    <row r="173" spans="2:4" ht="16.5" customHeight="1">
      <c r="B173" s="198"/>
      <c r="C173" s="6"/>
      <c r="D173" s="6"/>
    </row>
    <row r="174" spans="2:4" ht="16.5" customHeight="1">
      <c r="B174" s="198"/>
      <c r="C174" s="6"/>
      <c r="D174" s="6"/>
    </row>
    <row r="175" spans="2:4" ht="16.5" customHeight="1">
      <c r="B175" s="198"/>
      <c r="C175" s="6"/>
      <c r="D175" s="6"/>
    </row>
    <row r="176" spans="2:4" ht="16.5" customHeight="1">
      <c r="B176" s="198"/>
      <c r="C176" s="6"/>
      <c r="D176" s="6"/>
    </row>
    <row r="177" spans="2:4" ht="16.5" customHeight="1">
      <c r="B177" s="198"/>
      <c r="C177" s="6"/>
      <c r="D177" s="6"/>
    </row>
    <row r="178" spans="2:4" ht="16.5" customHeight="1">
      <c r="B178" s="198"/>
      <c r="C178" s="6"/>
      <c r="D178" s="6"/>
    </row>
    <row r="179" spans="2:4" ht="16.5" customHeight="1">
      <c r="B179" s="198"/>
      <c r="C179" s="6"/>
      <c r="D179" s="6"/>
    </row>
    <row r="180" spans="2:4" ht="16.5" customHeight="1">
      <c r="B180" s="198"/>
      <c r="C180" s="6"/>
      <c r="D180" s="6"/>
    </row>
    <row r="181" spans="2:4" ht="16.5" customHeight="1">
      <c r="B181" s="198"/>
      <c r="C181" s="6"/>
      <c r="D181" s="6"/>
    </row>
    <row r="182" spans="2:4" ht="16.5" customHeight="1">
      <c r="B182" s="198"/>
      <c r="C182" s="6"/>
      <c r="D182" s="6"/>
    </row>
    <row r="183" spans="2:4" ht="16.5" customHeight="1">
      <c r="B183" s="198"/>
      <c r="C183" s="6"/>
      <c r="D183" s="6"/>
    </row>
    <row r="184" spans="2:4" ht="16.5" customHeight="1">
      <c r="B184" s="198"/>
      <c r="C184" s="6"/>
      <c r="D184" s="6"/>
    </row>
    <row r="185" spans="2:4" ht="16.5" customHeight="1">
      <c r="B185" s="198"/>
      <c r="C185" s="6"/>
      <c r="D185" s="6"/>
    </row>
    <row r="186" spans="2:4" ht="16.5" customHeight="1">
      <c r="B186" s="198"/>
      <c r="C186" s="6"/>
      <c r="D186" s="6"/>
    </row>
    <row r="187" spans="2:4" ht="16.5" customHeight="1">
      <c r="B187" s="198"/>
      <c r="C187" s="6"/>
      <c r="D187" s="6"/>
    </row>
    <row r="188" spans="2:4" ht="16.5" customHeight="1">
      <c r="B188" s="198"/>
      <c r="C188" s="6"/>
      <c r="D188" s="6"/>
    </row>
    <row r="189" spans="2:4" ht="16.5" customHeight="1">
      <c r="B189" s="198"/>
      <c r="C189" s="6"/>
      <c r="D189" s="6"/>
    </row>
    <row r="190" spans="2:4" ht="16.5" customHeight="1">
      <c r="B190" s="198"/>
      <c r="C190" s="6"/>
      <c r="D190" s="6"/>
    </row>
    <row r="191" spans="2:4" ht="16.5" customHeight="1">
      <c r="B191" s="198"/>
      <c r="C191" s="6"/>
      <c r="D191" s="6"/>
    </row>
    <row r="192" spans="2:4" ht="16.5" customHeight="1">
      <c r="B192" s="198"/>
      <c r="C192" s="6"/>
      <c r="D192" s="6"/>
    </row>
    <row r="193" spans="2:4" ht="16.5" customHeight="1">
      <c r="B193" s="198"/>
      <c r="C193" s="6"/>
      <c r="D193" s="6"/>
    </row>
    <row r="194" spans="2:4" ht="16.5" customHeight="1">
      <c r="B194" s="198"/>
      <c r="C194" s="6"/>
      <c r="D194" s="6"/>
    </row>
    <row r="195" spans="2:4" ht="16.5" customHeight="1">
      <c r="B195" s="198"/>
      <c r="C195" s="6"/>
      <c r="D195" s="6"/>
    </row>
    <row r="196" spans="2:4" ht="16.5" customHeight="1">
      <c r="B196" s="198"/>
      <c r="C196" s="6"/>
      <c r="D196" s="6"/>
    </row>
    <row r="197" spans="2:4" ht="16.5" customHeight="1">
      <c r="B197" s="198"/>
      <c r="C197" s="6"/>
      <c r="D197" s="6"/>
    </row>
    <row r="198" spans="2:4" ht="16.5" customHeight="1">
      <c r="B198" s="198"/>
      <c r="C198" s="6"/>
      <c r="D198" s="6"/>
    </row>
    <row r="199" spans="2:4" ht="16.5" customHeight="1">
      <c r="B199" s="198"/>
      <c r="C199" s="6"/>
      <c r="D199" s="6"/>
    </row>
    <row r="200" spans="2:4" ht="16.5" customHeight="1">
      <c r="B200" s="198"/>
      <c r="C200" s="6"/>
      <c r="D200" s="6"/>
    </row>
    <row r="201" spans="2:4" ht="16.5" customHeight="1">
      <c r="B201" s="198"/>
      <c r="C201" s="6"/>
      <c r="D201" s="6"/>
    </row>
    <row r="202" spans="2:4" ht="16.5" customHeight="1">
      <c r="B202" s="198"/>
      <c r="C202" s="6"/>
      <c r="D202" s="6"/>
    </row>
    <row r="203" spans="2:4" ht="16.5" customHeight="1">
      <c r="B203" s="198"/>
      <c r="C203" s="6"/>
      <c r="D203" s="6"/>
    </row>
    <row r="204" spans="2:4" ht="16.5" customHeight="1">
      <c r="B204" s="198"/>
      <c r="C204" s="6"/>
      <c r="D204" s="6"/>
    </row>
    <row r="205" spans="2:4" ht="16.5" customHeight="1">
      <c r="B205" s="198"/>
      <c r="C205" s="6"/>
      <c r="D205" s="6"/>
    </row>
    <row r="206" spans="2:4" ht="16.5" customHeight="1">
      <c r="B206" s="198"/>
      <c r="C206" s="6"/>
      <c r="D206" s="6"/>
    </row>
    <row r="207" spans="2:4" ht="16.5" customHeight="1">
      <c r="B207" s="198"/>
      <c r="C207" s="6"/>
      <c r="D207" s="6"/>
    </row>
    <row r="208" spans="2:4" ht="16.5" customHeight="1">
      <c r="B208" s="198"/>
      <c r="C208" s="6"/>
      <c r="D208" s="6"/>
    </row>
    <row r="209" spans="2:4" ht="16.5" customHeight="1">
      <c r="B209" s="198"/>
      <c r="C209" s="6"/>
      <c r="D209" s="6"/>
    </row>
    <row r="210" spans="2:4" ht="16.5" customHeight="1">
      <c r="B210" s="198"/>
      <c r="C210" s="6"/>
      <c r="D210" s="6"/>
    </row>
    <row r="211" spans="2:4" ht="16.5" customHeight="1">
      <c r="B211" s="198"/>
      <c r="C211" s="6"/>
      <c r="D211" s="6"/>
    </row>
    <row r="212" spans="2:4" ht="16.5" customHeight="1">
      <c r="B212" s="198"/>
      <c r="C212" s="6"/>
      <c r="D212" s="6"/>
    </row>
    <row r="213" spans="2:4" ht="16.5" customHeight="1">
      <c r="B213" s="198"/>
      <c r="C213" s="6"/>
      <c r="D213" s="6"/>
    </row>
    <row r="214" spans="2:4" ht="16.5" customHeight="1">
      <c r="B214" s="198"/>
      <c r="C214" s="6"/>
      <c r="D214" s="6"/>
    </row>
    <row r="215" spans="2:4" ht="16.5" customHeight="1">
      <c r="B215" s="198"/>
      <c r="C215" s="6"/>
      <c r="D215" s="6"/>
    </row>
    <row r="216" spans="2:4" ht="16.5" customHeight="1">
      <c r="B216" s="198"/>
      <c r="C216" s="6"/>
      <c r="D216" s="6"/>
    </row>
    <row r="217" spans="2:4" ht="16.5" customHeight="1">
      <c r="B217" s="198"/>
      <c r="C217" s="6"/>
      <c r="D217" s="6"/>
    </row>
    <row r="218" spans="2:4" ht="16.5" customHeight="1">
      <c r="B218" s="198"/>
      <c r="C218" s="6"/>
      <c r="D218" s="6"/>
    </row>
    <row r="219" spans="2:4" ht="16.5" customHeight="1">
      <c r="B219" s="198"/>
      <c r="C219" s="6"/>
      <c r="D219" s="6"/>
    </row>
    <row r="220" spans="2:4" ht="16.5" customHeight="1">
      <c r="B220" s="198"/>
      <c r="C220" s="6"/>
      <c r="D220" s="6"/>
    </row>
    <row r="221" spans="2:4" ht="16.5" customHeight="1">
      <c r="B221" s="198"/>
      <c r="C221" s="6"/>
      <c r="D221" s="6"/>
    </row>
    <row r="222" spans="2:4" ht="16.5" customHeight="1">
      <c r="B222" s="198"/>
      <c r="C222" s="6"/>
      <c r="D222" s="6"/>
    </row>
    <row r="223" spans="2:4" ht="16.5" customHeight="1">
      <c r="B223" s="198"/>
      <c r="C223" s="6"/>
      <c r="D223" s="6"/>
    </row>
    <row r="224" spans="2:4" ht="16.5" customHeight="1">
      <c r="B224" s="198"/>
      <c r="C224" s="6"/>
      <c r="D224" s="6"/>
    </row>
    <row r="225" spans="2:4" ht="16.5" customHeight="1">
      <c r="B225" s="198"/>
      <c r="C225" s="6"/>
      <c r="D225" s="6"/>
    </row>
    <row r="226" spans="2:4" ht="16.5" customHeight="1">
      <c r="B226" s="198"/>
      <c r="C226" s="6"/>
      <c r="D226" s="6"/>
    </row>
    <row r="227" spans="2:4" ht="16.5" customHeight="1">
      <c r="B227" s="198"/>
      <c r="C227" s="6"/>
      <c r="D227" s="6"/>
    </row>
    <row r="228" spans="2:4" ht="16.5" customHeight="1">
      <c r="B228" s="198"/>
      <c r="C228" s="6"/>
      <c r="D228" s="6"/>
    </row>
    <row r="229" spans="2:4" ht="16.5" customHeight="1">
      <c r="B229" s="198"/>
      <c r="C229" s="6"/>
      <c r="D229" s="6"/>
    </row>
    <row r="230" spans="2:4" ht="16.5" customHeight="1">
      <c r="B230" s="198"/>
      <c r="C230" s="6"/>
      <c r="D230" s="6"/>
    </row>
    <row r="231" spans="2:4" ht="16.5" customHeight="1">
      <c r="B231" s="198"/>
      <c r="C231" s="6"/>
      <c r="D231" s="6"/>
    </row>
    <row r="232" spans="2:4" ht="16.5" customHeight="1">
      <c r="B232" s="198"/>
      <c r="C232" s="6"/>
      <c r="D232" s="6"/>
    </row>
    <row r="233" spans="2:4" ht="16.5" customHeight="1">
      <c r="B233" s="198"/>
      <c r="C233" s="6"/>
      <c r="D233" s="6"/>
    </row>
    <row r="234" spans="2:4" ht="16.5" customHeight="1">
      <c r="B234" s="198"/>
      <c r="C234" s="6"/>
      <c r="D234" s="6"/>
    </row>
    <row r="235" spans="2:4" ht="16.5" customHeight="1">
      <c r="B235" s="198"/>
      <c r="C235" s="6"/>
      <c r="D235" s="6"/>
    </row>
    <row r="236" spans="2:4" ht="16.5" customHeight="1">
      <c r="B236" s="198"/>
      <c r="C236" s="6"/>
      <c r="D236" s="6"/>
    </row>
    <row r="237" spans="2:4" ht="16.5" customHeight="1">
      <c r="B237" s="198"/>
      <c r="C237" s="6"/>
      <c r="D237" s="6"/>
    </row>
    <row r="238" spans="2:4" ht="16.5" customHeight="1">
      <c r="B238" s="198"/>
      <c r="C238" s="6"/>
      <c r="D238" s="6"/>
    </row>
    <row r="239" spans="2:4" ht="16.5" customHeight="1">
      <c r="B239" s="198"/>
      <c r="C239" s="6"/>
      <c r="D239" s="6"/>
    </row>
    <row r="240" spans="2:4" ht="16.5" customHeight="1">
      <c r="B240" s="198"/>
      <c r="C240" s="6"/>
      <c r="D240" s="6"/>
    </row>
    <row r="241" spans="2:4" ht="16.5" customHeight="1">
      <c r="B241" s="198"/>
      <c r="C241" s="6"/>
      <c r="D241" s="6"/>
    </row>
    <row r="242" spans="2:4" ht="16.5" customHeight="1">
      <c r="B242" s="198"/>
      <c r="C242" s="6"/>
      <c r="D242" s="6"/>
    </row>
    <row r="243" spans="2:4" ht="16.5" customHeight="1">
      <c r="B243" s="198"/>
      <c r="C243" s="6"/>
      <c r="D243" s="6"/>
    </row>
    <row r="244" spans="2:4" ht="16.5" customHeight="1">
      <c r="B244" s="198"/>
      <c r="C244" s="6"/>
      <c r="D244" s="6"/>
    </row>
    <row r="245" spans="2:4" ht="16.5" customHeight="1">
      <c r="B245" s="198"/>
      <c r="C245" s="6"/>
      <c r="D245" s="6"/>
    </row>
    <row r="246" spans="2:4" ht="16.5" customHeight="1">
      <c r="B246" s="198"/>
      <c r="C246" s="6"/>
      <c r="D246" s="6"/>
    </row>
    <row r="247" spans="2:4" ht="16.5" customHeight="1">
      <c r="B247" s="198"/>
      <c r="C247" s="6"/>
      <c r="D247" s="6"/>
    </row>
    <row r="248" spans="2:4" ht="16.5" customHeight="1">
      <c r="B248" s="198"/>
      <c r="C248" s="6"/>
      <c r="D248" s="6"/>
    </row>
    <row r="249" spans="2:4" ht="16.5" customHeight="1">
      <c r="B249" s="198"/>
      <c r="C249" s="6"/>
      <c r="D249" s="6"/>
    </row>
    <row r="250" spans="2:4" ht="16.5" customHeight="1">
      <c r="B250" s="198"/>
      <c r="C250" s="6"/>
      <c r="D250" s="6"/>
    </row>
    <row r="251" spans="2:4" ht="16.5" customHeight="1">
      <c r="B251" s="198"/>
      <c r="C251" s="6"/>
      <c r="D251" s="6"/>
    </row>
    <row r="252" spans="2:4" ht="16.5" customHeight="1">
      <c r="B252" s="198"/>
      <c r="C252" s="6"/>
      <c r="D252" s="6"/>
    </row>
    <row r="253" spans="2:4" ht="16.5" customHeight="1">
      <c r="B253" s="198"/>
      <c r="C253" s="6"/>
      <c r="D253" s="6"/>
    </row>
    <row r="254" spans="2:4" ht="16.5" customHeight="1">
      <c r="B254" s="198"/>
      <c r="C254" s="6"/>
      <c r="D254" s="6"/>
    </row>
    <row r="255" spans="2:4" ht="16.5" customHeight="1">
      <c r="B255" s="198"/>
      <c r="C255" s="6"/>
      <c r="D255" s="6"/>
    </row>
    <row r="256" spans="2:4" ht="16.5" customHeight="1">
      <c r="B256" s="198"/>
      <c r="C256" s="6"/>
      <c r="D256" s="6"/>
    </row>
    <row r="257" spans="2:4" ht="16.5" customHeight="1">
      <c r="B257" s="198"/>
      <c r="C257" s="6"/>
      <c r="D257" s="6"/>
    </row>
    <row r="258" spans="2:4" ht="16.5" customHeight="1">
      <c r="B258" s="198"/>
      <c r="C258" s="6"/>
      <c r="D258" s="6"/>
    </row>
    <row r="259" spans="2:4" ht="16.5" customHeight="1">
      <c r="B259" s="198"/>
      <c r="C259" s="6"/>
      <c r="D259" s="6"/>
    </row>
    <row r="260" spans="2:4" ht="16.5" customHeight="1">
      <c r="B260" s="198"/>
      <c r="C260" s="6"/>
      <c r="D260" s="6"/>
    </row>
    <row r="261" spans="2:4" ht="16.5" customHeight="1">
      <c r="B261" s="198"/>
      <c r="C261" s="6"/>
      <c r="D261" s="6"/>
    </row>
    <row r="262" spans="2:4" ht="16.5" customHeight="1">
      <c r="B262" s="198"/>
      <c r="C262" s="6"/>
      <c r="D262" s="6"/>
    </row>
    <row r="263" spans="2:4" ht="16.5" customHeight="1">
      <c r="B263" s="198"/>
      <c r="C263" s="6"/>
      <c r="D263" s="6"/>
    </row>
    <row r="264" spans="2:4" ht="16.5" customHeight="1">
      <c r="B264" s="198"/>
      <c r="C264" s="6"/>
      <c r="D264" s="6"/>
    </row>
    <row r="265" spans="2:4" ht="16.5" customHeight="1">
      <c r="B265" s="198"/>
      <c r="C265" s="6"/>
      <c r="D265" s="6"/>
    </row>
    <row r="266" spans="2:4" ht="16.5" customHeight="1">
      <c r="B266" s="198"/>
      <c r="C266" s="6"/>
      <c r="D266" s="6"/>
    </row>
    <row r="267" spans="2:4" ht="16.5" customHeight="1">
      <c r="B267" s="198"/>
      <c r="C267" s="6"/>
      <c r="D267" s="6"/>
    </row>
    <row r="268" spans="2:4" ht="16.5" customHeight="1">
      <c r="B268" s="198"/>
      <c r="C268" s="6"/>
      <c r="D268" s="6"/>
    </row>
    <row r="269" spans="2:4" ht="16.5" customHeight="1">
      <c r="B269" s="198"/>
      <c r="C269" s="6"/>
      <c r="D269" s="6"/>
    </row>
    <row r="270" spans="2:4" ht="16.5" customHeight="1">
      <c r="B270" s="198"/>
      <c r="C270" s="6"/>
      <c r="D270" s="6"/>
    </row>
    <row r="271" spans="2:4" ht="16.5" customHeight="1">
      <c r="B271" s="198"/>
      <c r="C271" s="6"/>
      <c r="D271" s="6"/>
    </row>
    <row r="272" spans="2:4" ht="16.5" customHeight="1">
      <c r="B272" s="198"/>
      <c r="C272" s="6"/>
      <c r="D272" s="6"/>
    </row>
    <row r="273" spans="2:4" ht="16.5" customHeight="1">
      <c r="B273" s="198"/>
      <c r="C273" s="6"/>
      <c r="D273" s="6"/>
    </row>
    <row r="274" spans="2:4" ht="16.5" customHeight="1">
      <c r="B274" s="198"/>
      <c r="C274" s="6"/>
      <c r="D274" s="6"/>
    </row>
    <row r="275" spans="2:4" ht="16.5" customHeight="1">
      <c r="B275" s="198"/>
      <c r="C275" s="6"/>
      <c r="D275" s="6"/>
    </row>
    <row r="276" spans="2:4" ht="16.5" customHeight="1">
      <c r="B276" s="198"/>
      <c r="C276" s="6"/>
      <c r="D276" s="6"/>
    </row>
    <row r="277" spans="2:4" ht="16.5" customHeight="1">
      <c r="B277" s="198"/>
      <c r="C277" s="6"/>
      <c r="D277" s="6"/>
    </row>
    <row r="278" spans="2:4" ht="16.5" customHeight="1">
      <c r="B278" s="198"/>
      <c r="C278" s="6"/>
      <c r="D278" s="6"/>
    </row>
    <row r="279" spans="2:4" ht="16.5" customHeight="1">
      <c r="B279" s="198"/>
      <c r="C279" s="6"/>
      <c r="D279" s="6"/>
    </row>
    <row r="280" spans="2:4" ht="16.5" customHeight="1">
      <c r="B280" s="198"/>
      <c r="C280" s="6"/>
      <c r="D280" s="6"/>
    </row>
    <row r="281" spans="2:4" ht="16.5" customHeight="1">
      <c r="B281" s="198"/>
      <c r="C281" s="6"/>
      <c r="D281" s="6"/>
    </row>
    <row r="282" spans="2:4" ht="16.5" customHeight="1">
      <c r="B282" s="198"/>
      <c r="C282" s="6"/>
      <c r="D282" s="6"/>
    </row>
    <row r="283" spans="2:4" ht="16.5" customHeight="1">
      <c r="B283" s="198"/>
      <c r="C283" s="6"/>
      <c r="D283" s="6"/>
    </row>
    <row r="284" spans="2:4" ht="16.5" customHeight="1">
      <c r="B284" s="198"/>
      <c r="C284" s="6"/>
      <c r="D284" s="6"/>
    </row>
    <row r="285" spans="2:4" ht="16.5" customHeight="1">
      <c r="B285" s="198"/>
      <c r="C285" s="6"/>
      <c r="D285" s="6"/>
    </row>
    <row r="286" spans="2:4" ht="16.5" customHeight="1">
      <c r="B286" s="198"/>
      <c r="C286" s="6"/>
      <c r="D286" s="6"/>
    </row>
    <row r="287" spans="2:4" ht="16.5" customHeight="1">
      <c r="B287" s="198"/>
      <c r="C287" s="6"/>
      <c r="D287" s="6"/>
    </row>
    <row r="288" spans="2:4" ht="16.5" customHeight="1">
      <c r="B288" s="198"/>
      <c r="C288" s="6"/>
      <c r="D288" s="6"/>
    </row>
    <row r="289" spans="2:4" ht="16.5" customHeight="1">
      <c r="B289" s="198"/>
      <c r="C289" s="6"/>
      <c r="D289" s="6"/>
    </row>
    <row r="290" spans="2:4" ht="16.5" customHeight="1">
      <c r="B290" s="198"/>
      <c r="C290" s="6"/>
      <c r="D290" s="6"/>
    </row>
    <row r="291" spans="2:4" ht="16.5" customHeight="1">
      <c r="B291" s="198"/>
      <c r="C291" s="6"/>
      <c r="D291" s="6"/>
    </row>
    <row r="292" spans="2:4" ht="16.5" customHeight="1">
      <c r="B292" s="198"/>
      <c r="C292" s="6"/>
      <c r="D292" s="6"/>
    </row>
    <row r="293" spans="2:4" ht="16.5" customHeight="1">
      <c r="B293" s="198"/>
      <c r="C293" s="6"/>
      <c r="D293" s="6"/>
    </row>
    <row r="294" spans="2:4" ht="16.5" customHeight="1">
      <c r="B294" s="198"/>
      <c r="C294" s="6"/>
      <c r="D294" s="6"/>
    </row>
    <row r="295" spans="2:4" ht="16.5" customHeight="1">
      <c r="B295" s="198"/>
      <c r="C295" s="6"/>
      <c r="D295" s="6"/>
    </row>
    <row r="296" spans="2:4" ht="16.5" customHeight="1">
      <c r="B296" s="198"/>
      <c r="C296" s="6"/>
      <c r="D296" s="6"/>
    </row>
    <row r="297" spans="2:4" ht="16.5" customHeight="1">
      <c r="B297" s="198"/>
      <c r="C297" s="6"/>
      <c r="D297" s="6"/>
    </row>
    <row r="298" spans="2:4" ht="16.5" customHeight="1">
      <c r="B298" s="198"/>
      <c r="C298" s="6"/>
      <c r="D298" s="6"/>
    </row>
    <row r="299" spans="2:4" ht="16.5" customHeight="1">
      <c r="B299" s="198"/>
      <c r="C299" s="6"/>
      <c r="D299" s="6"/>
    </row>
    <row r="300" spans="2:4" ht="16.5" customHeight="1">
      <c r="B300" s="198"/>
      <c r="C300" s="6"/>
      <c r="D300" s="6"/>
    </row>
    <row r="301" spans="2:4" ht="16.5" customHeight="1">
      <c r="B301" s="198"/>
      <c r="C301" s="6"/>
      <c r="D301" s="6"/>
    </row>
    <row r="302" spans="2:4" ht="16.5" customHeight="1">
      <c r="B302" s="198"/>
      <c r="C302" s="6"/>
      <c r="D302" s="6"/>
    </row>
    <row r="303" spans="2:4" ht="16.5" customHeight="1">
      <c r="B303" s="198"/>
      <c r="C303" s="6"/>
      <c r="D303" s="6"/>
    </row>
    <row r="304" spans="2:4" ht="16.5" customHeight="1">
      <c r="B304" s="198"/>
      <c r="C304" s="6"/>
      <c r="D304" s="6"/>
    </row>
    <row r="305" spans="2:4" ht="16.5" customHeight="1">
      <c r="B305" s="198"/>
      <c r="C305" s="6"/>
      <c r="D305" s="6"/>
    </row>
    <row r="306" spans="2:4" ht="16.5" customHeight="1">
      <c r="B306" s="198"/>
      <c r="C306" s="6"/>
      <c r="D306" s="6"/>
    </row>
    <row r="307" spans="2:4" ht="16.5" customHeight="1">
      <c r="B307" s="198"/>
      <c r="C307" s="6"/>
      <c r="D307" s="6"/>
    </row>
    <row r="308" spans="2:4" ht="16.5" customHeight="1">
      <c r="B308" s="198"/>
      <c r="C308" s="6"/>
      <c r="D308" s="6"/>
    </row>
    <row r="309" spans="2:4" ht="16.5" customHeight="1">
      <c r="B309" s="198"/>
      <c r="C309" s="6"/>
      <c r="D309" s="6"/>
    </row>
    <row r="310" spans="2:4" ht="16.5" customHeight="1">
      <c r="B310" s="198"/>
      <c r="C310" s="6"/>
      <c r="D310" s="6"/>
    </row>
    <row r="311" spans="2:4" ht="16.5" customHeight="1">
      <c r="B311" s="198"/>
      <c r="C311" s="6"/>
      <c r="D311" s="6"/>
    </row>
    <row r="312" spans="2:4" ht="16.5" customHeight="1">
      <c r="B312" s="198"/>
      <c r="C312" s="6"/>
      <c r="D312" s="6"/>
    </row>
    <row r="313" spans="2:4" ht="16.5" customHeight="1">
      <c r="B313" s="198"/>
      <c r="C313" s="6"/>
      <c r="D313" s="6"/>
    </row>
    <row r="314" spans="2:4" ht="16.5" customHeight="1">
      <c r="B314" s="198"/>
      <c r="C314" s="6"/>
      <c r="D314" s="6"/>
    </row>
    <row r="315" spans="2:4" ht="16.5" customHeight="1">
      <c r="B315" s="198"/>
      <c r="C315" s="6"/>
      <c r="D315" s="6"/>
    </row>
    <row r="316" spans="2:4" ht="16.5" customHeight="1">
      <c r="B316" s="198"/>
      <c r="C316" s="6"/>
      <c r="D316" s="6"/>
    </row>
    <row r="317" spans="2:4" ht="16.5" customHeight="1">
      <c r="B317" s="198"/>
      <c r="C317" s="6"/>
      <c r="D317" s="6"/>
    </row>
    <row r="318" spans="2:4" ht="16.5" customHeight="1">
      <c r="B318" s="198"/>
      <c r="C318" s="6"/>
      <c r="D318" s="6"/>
    </row>
    <row r="319" spans="2:4" ht="16.5" customHeight="1">
      <c r="B319" s="198"/>
      <c r="C319" s="6"/>
      <c r="D319" s="6"/>
    </row>
    <row r="320" spans="2:4" ht="16.5" customHeight="1">
      <c r="B320" s="198"/>
      <c r="C320" s="6"/>
      <c r="D320" s="6"/>
    </row>
    <row r="321" spans="2:4" ht="16.5" customHeight="1">
      <c r="B321" s="198"/>
      <c r="C321" s="6"/>
      <c r="D321" s="6"/>
    </row>
    <row r="322" spans="2:4" ht="16.5" customHeight="1">
      <c r="B322" s="198"/>
      <c r="C322" s="6"/>
      <c r="D322" s="6"/>
    </row>
    <row r="323" spans="2:4" ht="16.5" customHeight="1">
      <c r="B323" s="198"/>
      <c r="C323" s="6"/>
      <c r="D323" s="6"/>
    </row>
    <row r="324" spans="2:4" ht="16.5" customHeight="1">
      <c r="B324" s="198"/>
      <c r="C324" s="6"/>
      <c r="D324" s="6"/>
    </row>
    <row r="325" spans="2:4" ht="16.5" customHeight="1">
      <c r="B325" s="198"/>
      <c r="C325" s="6"/>
      <c r="D325" s="6"/>
    </row>
    <row r="326" spans="2:4" ht="16.5" customHeight="1">
      <c r="B326" s="198"/>
      <c r="C326" s="6"/>
      <c r="D326" s="6"/>
    </row>
    <row r="327" spans="2:4" ht="16.5" customHeight="1">
      <c r="B327" s="198"/>
      <c r="C327" s="6"/>
      <c r="D327" s="6"/>
    </row>
    <row r="328" spans="2:4" ht="16.5" customHeight="1">
      <c r="B328" s="198"/>
      <c r="C328" s="6"/>
      <c r="D328" s="6"/>
    </row>
    <row r="329" spans="2:4" ht="16.5" customHeight="1">
      <c r="B329" s="198"/>
      <c r="C329" s="6"/>
      <c r="D329" s="6"/>
    </row>
    <row r="330" spans="2:4" ht="16.5" customHeight="1">
      <c r="B330" s="198"/>
      <c r="C330" s="6"/>
      <c r="D330" s="6"/>
    </row>
    <row r="331" spans="2:4" ht="16.5" customHeight="1">
      <c r="B331" s="198"/>
      <c r="C331" s="6"/>
      <c r="D331" s="6"/>
    </row>
    <row r="332" spans="2:4" ht="16.5" customHeight="1">
      <c r="B332" s="198"/>
      <c r="C332" s="6"/>
      <c r="D332" s="6"/>
    </row>
    <row r="333" spans="2:4" ht="16.5" customHeight="1">
      <c r="B333" s="198"/>
      <c r="C333" s="6"/>
      <c r="D333" s="6"/>
    </row>
    <row r="334" spans="2:4" ht="16.5" customHeight="1">
      <c r="B334" s="198"/>
      <c r="C334" s="6"/>
      <c r="D334" s="6"/>
    </row>
    <row r="335" spans="2:4" ht="16.5" customHeight="1">
      <c r="B335" s="198"/>
      <c r="C335" s="6"/>
      <c r="D335" s="6"/>
    </row>
    <row r="336" spans="2:4" ht="16.5" customHeight="1">
      <c r="B336" s="198"/>
      <c r="C336" s="6"/>
      <c r="D336" s="6"/>
    </row>
    <row r="337" spans="2:4" ht="16.5" customHeight="1">
      <c r="B337" s="198"/>
      <c r="C337" s="6"/>
      <c r="D337" s="6"/>
    </row>
    <row r="338" spans="2:4" ht="16.5" customHeight="1">
      <c r="B338" s="198"/>
      <c r="C338" s="6"/>
      <c r="D338" s="6"/>
    </row>
    <row r="339" spans="2:4" ht="16.5" customHeight="1">
      <c r="B339" s="198"/>
      <c r="C339" s="6"/>
      <c r="D339" s="6"/>
    </row>
    <row r="340" spans="2:4" ht="16.5" customHeight="1">
      <c r="B340" s="198"/>
      <c r="C340" s="6"/>
      <c r="D340" s="6"/>
    </row>
    <row r="341" spans="2:4" ht="16.5" customHeight="1">
      <c r="B341" s="198"/>
      <c r="C341" s="6"/>
      <c r="D341" s="6"/>
    </row>
    <row r="342" spans="2:4" ht="16.5" customHeight="1">
      <c r="B342" s="198"/>
      <c r="C342" s="6"/>
      <c r="D342" s="6"/>
    </row>
    <row r="343" spans="2:4" ht="16.5" customHeight="1">
      <c r="B343" s="198"/>
      <c r="C343" s="6"/>
      <c r="D343" s="6"/>
    </row>
    <row r="344" spans="2:4" ht="16.5" customHeight="1">
      <c r="B344" s="198"/>
      <c r="C344" s="6"/>
      <c r="D344" s="6"/>
    </row>
    <row r="345" spans="2:4" ht="16.5" customHeight="1">
      <c r="B345" s="198"/>
      <c r="C345" s="6"/>
      <c r="D345" s="6"/>
    </row>
    <row r="346" spans="2:4" ht="16.5" customHeight="1">
      <c r="B346" s="198"/>
      <c r="C346" s="6"/>
      <c r="D346" s="6"/>
    </row>
    <row r="347" spans="2:4" ht="16.5" customHeight="1">
      <c r="B347" s="198"/>
      <c r="C347" s="6"/>
      <c r="D347" s="6"/>
    </row>
    <row r="348" spans="2:4" ht="16.5" customHeight="1">
      <c r="B348" s="198"/>
      <c r="C348" s="6"/>
      <c r="D348" s="6"/>
    </row>
    <row r="349" spans="2:4" ht="16.5" customHeight="1">
      <c r="B349" s="198"/>
      <c r="C349" s="6"/>
      <c r="D349" s="6"/>
    </row>
    <row r="350" spans="2:4" ht="16.5" customHeight="1">
      <c r="B350" s="198"/>
      <c r="C350" s="6"/>
      <c r="D350" s="6"/>
    </row>
    <row r="351" spans="2:4" ht="16.5" customHeight="1">
      <c r="B351" s="198"/>
      <c r="C351" s="6"/>
      <c r="D351" s="6"/>
    </row>
    <row r="352" spans="2:4" ht="16.5" customHeight="1">
      <c r="B352" s="198"/>
      <c r="C352" s="6"/>
      <c r="D352" s="6"/>
    </row>
    <row r="353" spans="2:4" ht="16.5" customHeight="1">
      <c r="B353" s="198"/>
      <c r="C353" s="6"/>
      <c r="D353" s="6"/>
    </row>
    <row r="354" spans="2:4" ht="16.5" customHeight="1">
      <c r="B354" s="198"/>
      <c r="C354" s="6"/>
      <c r="D354" s="6"/>
    </row>
    <row r="355" spans="2:4" ht="16.5" customHeight="1">
      <c r="B355" s="198"/>
      <c r="C355" s="6"/>
      <c r="D355" s="6"/>
    </row>
    <row r="356" spans="2:4" ht="16.5" customHeight="1">
      <c r="B356" s="198"/>
      <c r="C356" s="6"/>
      <c r="D356" s="6"/>
    </row>
    <row r="357" spans="2:4" ht="16.5" customHeight="1">
      <c r="B357" s="198"/>
      <c r="C357" s="6"/>
      <c r="D357" s="6"/>
    </row>
    <row r="358" spans="2:4" ht="16.5" customHeight="1">
      <c r="B358" s="198"/>
      <c r="C358" s="6"/>
      <c r="D358" s="6"/>
    </row>
    <row r="359" spans="2:4" ht="16.5" customHeight="1">
      <c r="B359" s="198"/>
      <c r="C359" s="6"/>
      <c r="D359" s="6"/>
    </row>
    <row r="360" spans="2:4" ht="16.5" customHeight="1">
      <c r="B360" s="198"/>
      <c r="C360" s="6"/>
      <c r="D360" s="6"/>
    </row>
    <row r="361" spans="2:4" ht="16.5" customHeight="1">
      <c r="B361" s="198"/>
      <c r="C361" s="6"/>
      <c r="D361" s="6"/>
    </row>
    <row r="362" spans="2:4" ht="16.5" customHeight="1">
      <c r="B362" s="198"/>
      <c r="C362" s="6"/>
      <c r="D362" s="6"/>
    </row>
    <row r="363" spans="2:4" ht="16.5" customHeight="1">
      <c r="B363" s="198"/>
      <c r="C363" s="6"/>
      <c r="D363" s="6"/>
    </row>
    <row r="364" spans="2:4" ht="16.5" customHeight="1">
      <c r="B364" s="198"/>
      <c r="C364" s="6"/>
      <c r="D364" s="6"/>
    </row>
    <row r="365" spans="2:4" ht="16.5" customHeight="1">
      <c r="B365" s="198"/>
      <c r="C365" s="6"/>
      <c r="D365" s="6"/>
    </row>
    <row r="366" spans="2:4" ht="16.5" customHeight="1">
      <c r="B366" s="198"/>
      <c r="C366" s="6"/>
      <c r="D366" s="6"/>
    </row>
    <row r="367" spans="2:4" ht="16.5" customHeight="1">
      <c r="B367" s="198"/>
      <c r="C367" s="6"/>
      <c r="D367" s="6"/>
    </row>
    <row r="368" spans="2:4" ht="16.5" customHeight="1">
      <c r="B368" s="198"/>
      <c r="C368" s="6"/>
      <c r="D368" s="6"/>
    </row>
    <row r="369" spans="2:4" ht="16.5" customHeight="1">
      <c r="B369" s="198"/>
      <c r="C369" s="6"/>
      <c r="D369" s="6"/>
    </row>
    <row r="370" spans="2:4" ht="16.5" customHeight="1">
      <c r="B370" s="198"/>
      <c r="C370" s="6"/>
      <c r="D370" s="6"/>
    </row>
    <row r="371" spans="2:4" ht="16.5" customHeight="1">
      <c r="B371" s="198"/>
      <c r="C371" s="6"/>
      <c r="D371" s="6"/>
    </row>
    <row r="372" spans="2:4" ht="16.5" customHeight="1">
      <c r="B372" s="198"/>
      <c r="C372" s="6"/>
      <c r="D372" s="6"/>
    </row>
    <row r="373" spans="2:4" ht="16.5" customHeight="1">
      <c r="B373" s="198"/>
      <c r="C373" s="6"/>
      <c r="D373" s="6"/>
    </row>
    <row r="374" spans="2:4" ht="16.5" customHeight="1">
      <c r="B374" s="198"/>
      <c r="C374" s="6"/>
      <c r="D374" s="6"/>
    </row>
    <row r="375" spans="2:4" ht="16.5" customHeight="1">
      <c r="B375" s="198"/>
      <c r="C375" s="6"/>
      <c r="D375" s="6"/>
    </row>
    <row r="376" spans="2:4" ht="16.5" customHeight="1">
      <c r="B376" s="198"/>
      <c r="C376" s="6"/>
      <c r="D376" s="6"/>
    </row>
    <row r="377" spans="2:4" ht="16.5" customHeight="1">
      <c r="B377" s="198"/>
      <c r="C377" s="6"/>
      <c r="D377" s="6"/>
    </row>
    <row r="378" spans="2:4" ht="16.5" customHeight="1">
      <c r="B378" s="198"/>
      <c r="C378" s="6"/>
      <c r="D378" s="6"/>
    </row>
    <row r="379" spans="2:4" ht="16.5" customHeight="1">
      <c r="B379" s="198"/>
      <c r="C379" s="6"/>
      <c r="D379" s="6"/>
    </row>
    <row r="380" spans="2:4" ht="16.5" customHeight="1">
      <c r="B380" s="198"/>
      <c r="C380" s="6"/>
      <c r="D380" s="6"/>
    </row>
    <row r="381" spans="2:4" ht="16.5" customHeight="1">
      <c r="B381" s="198"/>
      <c r="C381" s="6"/>
      <c r="D381" s="6"/>
    </row>
    <row r="382" spans="2:4" ht="16.5" customHeight="1">
      <c r="B382" s="198"/>
      <c r="C382" s="6"/>
      <c r="D382" s="6"/>
    </row>
    <row r="383" spans="2:4" ht="16.5" customHeight="1">
      <c r="B383" s="198"/>
      <c r="C383" s="6"/>
      <c r="D383" s="6"/>
    </row>
    <row r="384" spans="2:4" ht="16.5" customHeight="1">
      <c r="B384" s="198"/>
      <c r="C384" s="6"/>
      <c r="D384" s="6"/>
    </row>
    <row r="385" spans="2:4" ht="16.5" customHeight="1">
      <c r="B385" s="198"/>
      <c r="C385" s="6"/>
      <c r="D385" s="6"/>
    </row>
    <row r="386" spans="2:4" ht="16.5" customHeight="1">
      <c r="B386" s="198"/>
      <c r="C386" s="6"/>
      <c r="D386" s="6"/>
    </row>
    <row r="387" spans="2:4" ht="16.5" customHeight="1">
      <c r="B387" s="198"/>
      <c r="C387" s="6"/>
      <c r="D387" s="6"/>
    </row>
    <row r="388" spans="2:4" ht="16.5" customHeight="1">
      <c r="B388" s="198"/>
      <c r="C388" s="6"/>
      <c r="D388" s="6"/>
    </row>
    <row r="389" spans="2:4" ht="16.5" customHeight="1">
      <c r="B389" s="198"/>
      <c r="C389" s="6"/>
      <c r="D389" s="6"/>
    </row>
    <row r="390" spans="2:4" ht="16.5" customHeight="1">
      <c r="B390" s="198"/>
      <c r="C390" s="6"/>
      <c r="D390" s="6"/>
    </row>
    <row r="391" spans="2:4" ht="16.5" customHeight="1">
      <c r="B391" s="198"/>
      <c r="C391" s="6"/>
      <c r="D391" s="6"/>
    </row>
    <row r="392" spans="2:4" ht="16.5" customHeight="1">
      <c r="B392" s="198"/>
      <c r="C392" s="6"/>
      <c r="D392" s="6"/>
    </row>
    <row r="393" spans="2:4" ht="16.5" customHeight="1">
      <c r="B393" s="198"/>
      <c r="C393" s="6"/>
      <c r="D393" s="6"/>
    </row>
    <row r="394" spans="2:4" ht="16.5" customHeight="1">
      <c r="B394" s="198"/>
      <c r="C394" s="6"/>
      <c r="D394" s="6"/>
    </row>
    <row r="395" spans="2:4" ht="16.5" customHeight="1">
      <c r="B395" s="198"/>
      <c r="C395" s="6"/>
      <c r="D395" s="6"/>
    </row>
    <row r="396" spans="2:4" ht="16.5" customHeight="1">
      <c r="B396" s="198"/>
      <c r="C396" s="6"/>
      <c r="D396" s="6"/>
    </row>
    <row r="397" spans="2:4" ht="16.5" customHeight="1">
      <c r="B397" s="198"/>
      <c r="C397" s="6"/>
      <c r="D397" s="6"/>
    </row>
    <row r="398" spans="2:4" ht="16.5" customHeight="1">
      <c r="B398" s="198"/>
      <c r="C398" s="6"/>
      <c r="D398" s="6"/>
    </row>
    <row r="399" spans="2:4" ht="16.5" customHeight="1">
      <c r="B399" s="198"/>
      <c r="C399" s="6"/>
      <c r="D399" s="6"/>
    </row>
    <row r="400" spans="2:4" ht="16.5" customHeight="1">
      <c r="B400" s="198"/>
      <c r="C400" s="6"/>
      <c r="D400" s="6"/>
    </row>
    <row r="401" spans="2:4" ht="16.5" customHeight="1">
      <c r="B401" s="198"/>
      <c r="C401" s="6"/>
      <c r="D401" s="6"/>
    </row>
    <row r="402" spans="2:4" ht="16.5" customHeight="1">
      <c r="B402" s="198"/>
      <c r="C402" s="6"/>
      <c r="D402" s="6"/>
    </row>
    <row r="403" spans="2:4" ht="16.5" customHeight="1">
      <c r="B403" s="198"/>
      <c r="C403" s="6"/>
      <c r="D403" s="6"/>
    </row>
    <row r="404" spans="2:4" ht="16.5" customHeight="1">
      <c r="B404" s="198"/>
      <c r="C404" s="6"/>
      <c r="D404" s="6"/>
    </row>
    <row r="405" spans="2:4" ht="16.5" customHeight="1">
      <c r="B405" s="198"/>
      <c r="C405" s="6"/>
      <c r="D405" s="6"/>
    </row>
    <row r="406" spans="2:4" ht="16.5" customHeight="1">
      <c r="B406" s="198"/>
      <c r="C406" s="6"/>
      <c r="D406" s="6"/>
    </row>
    <row r="407" spans="2:4" ht="16.5" customHeight="1">
      <c r="B407" s="198"/>
      <c r="C407" s="6"/>
      <c r="D407" s="6"/>
    </row>
    <row r="408" spans="2:4" ht="16.5" customHeight="1">
      <c r="B408" s="198"/>
      <c r="C408" s="6"/>
      <c r="D408" s="6"/>
    </row>
    <row r="409" spans="2:4" ht="16.5" customHeight="1">
      <c r="B409" s="198"/>
      <c r="C409" s="6"/>
      <c r="D409" s="6"/>
    </row>
    <row r="410" spans="2:4" ht="16.5" customHeight="1">
      <c r="B410" s="198"/>
      <c r="C410" s="6"/>
      <c r="D410" s="6"/>
    </row>
    <row r="411" spans="2:4" ht="16.5" customHeight="1">
      <c r="B411" s="198"/>
      <c r="C411" s="6"/>
      <c r="D411" s="6"/>
    </row>
    <row r="412" spans="2:4" ht="16.5" customHeight="1">
      <c r="B412" s="198"/>
      <c r="C412" s="6"/>
      <c r="D412" s="6"/>
    </row>
    <row r="413" spans="2:4" ht="16.5" customHeight="1">
      <c r="B413" s="198"/>
      <c r="C413" s="6"/>
      <c r="D413" s="6"/>
    </row>
    <row r="414" spans="2:4" ht="16.5" customHeight="1">
      <c r="B414" s="198"/>
      <c r="C414" s="6"/>
      <c r="D414" s="6"/>
    </row>
    <row r="415" spans="2:4" ht="16.5" customHeight="1">
      <c r="B415" s="198"/>
      <c r="C415" s="6"/>
      <c r="D415" s="6"/>
    </row>
    <row r="416" spans="2:4" ht="16.5" customHeight="1">
      <c r="B416" s="198"/>
      <c r="C416" s="6"/>
      <c r="D416" s="6"/>
    </row>
    <row r="417" spans="2:4" ht="16.5" customHeight="1">
      <c r="B417" s="198"/>
      <c r="C417" s="6"/>
      <c r="D417" s="6"/>
    </row>
    <row r="418" spans="2:4" ht="16.5" customHeight="1">
      <c r="B418" s="198"/>
      <c r="C418" s="6"/>
      <c r="D418" s="6"/>
    </row>
    <row r="419" spans="2:4" ht="16.5" customHeight="1">
      <c r="B419" s="198"/>
      <c r="C419" s="6"/>
      <c r="D419" s="6"/>
    </row>
    <row r="420" spans="2:4" ht="16.5" customHeight="1">
      <c r="B420" s="198"/>
      <c r="C420" s="6"/>
      <c r="D420" s="6"/>
    </row>
    <row r="421" spans="2:4" ht="16.5" customHeight="1">
      <c r="B421" s="198"/>
      <c r="C421" s="6"/>
      <c r="D421" s="6"/>
    </row>
    <row r="422" spans="2:4" ht="16.5" customHeight="1">
      <c r="B422" s="198"/>
      <c r="C422" s="6"/>
      <c r="D422" s="6"/>
    </row>
    <row r="423" spans="2:4" ht="16.5" customHeight="1">
      <c r="B423" s="198"/>
      <c r="C423" s="6"/>
      <c r="D423" s="6"/>
    </row>
    <row r="424" spans="2:4" ht="16.5" customHeight="1">
      <c r="B424" s="198"/>
      <c r="C424" s="6"/>
      <c r="D424" s="6"/>
    </row>
    <row r="425" spans="2:4" ht="16.5" customHeight="1">
      <c r="B425" s="198"/>
      <c r="C425" s="6"/>
      <c r="D425" s="6"/>
    </row>
    <row r="426" spans="2:4" ht="16.5" customHeight="1">
      <c r="B426" s="198"/>
      <c r="C426" s="6"/>
      <c r="D426" s="6"/>
    </row>
    <row r="427" spans="2:4" ht="16.5" customHeight="1">
      <c r="B427" s="198"/>
      <c r="C427" s="6"/>
      <c r="D427" s="6"/>
    </row>
    <row r="428" spans="2:4" ht="16.5" customHeight="1">
      <c r="B428" s="198"/>
      <c r="C428" s="6"/>
      <c r="D428" s="6"/>
    </row>
    <row r="429" spans="2:4" ht="16.5" customHeight="1">
      <c r="B429" s="198"/>
      <c r="C429" s="6"/>
      <c r="D429" s="6"/>
    </row>
    <row r="430" spans="2:4" ht="16.5" customHeight="1">
      <c r="B430" s="198"/>
      <c r="C430" s="6"/>
      <c r="D430" s="6"/>
    </row>
    <row r="431" spans="2:4" ht="16.5" customHeight="1">
      <c r="B431" s="198"/>
      <c r="C431" s="6"/>
      <c r="D431" s="6"/>
    </row>
    <row r="432" spans="2:4" ht="16.5" customHeight="1">
      <c r="B432" s="198"/>
      <c r="C432" s="6"/>
      <c r="D432" s="6"/>
    </row>
    <row r="433" spans="2:4" ht="16.5" customHeight="1">
      <c r="B433" s="198"/>
      <c r="C433" s="6"/>
      <c r="D433" s="6"/>
    </row>
    <row r="434" spans="2:4" ht="16.5" customHeight="1">
      <c r="B434" s="198"/>
      <c r="C434" s="6"/>
      <c r="D434" s="6"/>
    </row>
    <row r="435" spans="2:4" ht="16.5" customHeight="1">
      <c r="B435" s="198"/>
      <c r="C435" s="6"/>
      <c r="D435" s="6"/>
    </row>
    <row r="436" spans="2:4" ht="16.5" customHeight="1">
      <c r="B436" s="198"/>
      <c r="C436" s="6"/>
      <c r="D436" s="6"/>
    </row>
    <row r="437" spans="2:4" ht="16.5" customHeight="1">
      <c r="B437" s="198"/>
      <c r="C437" s="6"/>
      <c r="D437" s="6"/>
    </row>
    <row r="438" spans="2:4" ht="16.5" customHeight="1">
      <c r="B438" s="198"/>
      <c r="C438" s="6"/>
      <c r="D438" s="6"/>
    </row>
    <row r="439" spans="2:4" ht="16.5" customHeight="1">
      <c r="B439" s="198"/>
      <c r="C439" s="6"/>
      <c r="D439" s="6"/>
    </row>
    <row r="440" spans="2:4" ht="16.5" customHeight="1">
      <c r="B440" s="198"/>
      <c r="C440" s="6"/>
      <c r="D440" s="6"/>
    </row>
    <row r="441" spans="2:4" ht="16.5" customHeight="1">
      <c r="B441" s="198"/>
      <c r="C441" s="6"/>
      <c r="D441" s="6"/>
    </row>
    <row r="442" spans="2:4" ht="16.5" customHeight="1">
      <c r="B442" s="198"/>
      <c r="C442" s="6"/>
      <c r="D442" s="6"/>
    </row>
    <row r="443" spans="2:4" ht="16.5" customHeight="1">
      <c r="B443" s="198"/>
      <c r="C443" s="6"/>
      <c r="D443" s="6"/>
    </row>
    <row r="444" spans="2:4" ht="16.5" customHeight="1">
      <c r="B444" s="198"/>
      <c r="C444" s="6"/>
      <c r="D444" s="6"/>
    </row>
    <row r="445" spans="2:4" ht="16.5" customHeight="1">
      <c r="B445" s="198"/>
      <c r="C445" s="6"/>
      <c r="D445" s="6"/>
    </row>
    <row r="446" spans="2:4" ht="16.5" customHeight="1">
      <c r="B446" s="198"/>
      <c r="C446" s="6"/>
      <c r="D446" s="6"/>
    </row>
    <row r="447" spans="2:4" ht="16.5" customHeight="1">
      <c r="B447" s="198"/>
      <c r="C447" s="6"/>
      <c r="D447" s="6"/>
    </row>
    <row r="448" spans="2:4" ht="16.5" customHeight="1">
      <c r="B448" s="198"/>
      <c r="C448" s="6"/>
      <c r="D448" s="6"/>
    </row>
    <row r="449" spans="2:4" ht="16.5" customHeight="1">
      <c r="B449" s="198"/>
      <c r="C449" s="6"/>
      <c r="D449" s="6"/>
    </row>
    <row r="450" spans="2:4" ht="16.5" customHeight="1">
      <c r="B450" s="198"/>
      <c r="C450" s="6"/>
      <c r="D450" s="6"/>
    </row>
    <row r="451" spans="2:4" ht="16.5" customHeight="1">
      <c r="B451" s="198"/>
      <c r="C451" s="6"/>
      <c r="D451" s="6"/>
    </row>
    <row r="452" spans="2:4" ht="16.5" customHeight="1">
      <c r="B452" s="198"/>
      <c r="C452" s="6"/>
      <c r="D452" s="6"/>
    </row>
    <row r="453" spans="2:4" ht="16.5" customHeight="1">
      <c r="B453" s="198"/>
      <c r="C453" s="6"/>
      <c r="D453" s="6"/>
    </row>
    <row r="454" spans="2:4" ht="16.5" customHeight="1">
      <c r="B454" s="198"/>
      <c r="C454" s="6"/>
      <c r="D454" s="6"/>
    </row>
    <row r="455" spans="2:4" ht="16.5" customHeight="1">
      <c r="B455" s="198"/>
      <c r="C455" s="6"/>
      <c r="D455" s="6"/>
    </row>
    <row r="456" spans="2:4" ht="16.5" customHeight="1">
      <c r="B456" s="198"/>
      <c r="C456" s="6"/>
      <c r="D456" s="6"/>
    </row>
    <row r="457" spans="2:4" ht="16.5" customHeight="1">
      <c r="B457" s="198"/>
      <c r="C457" s="6"/>
      <c r="D457" s="6"/>
    </row>
    <row r="458" spans="2:4" ht="16.5" customHeight="1">
      <c r="B458" s="198"/>
      <c r="C458" s="6"/>
      <c r="D458" s="6"/>
    </row>
    <row r="459" spans="2:4" ht="16.5" customHeight="1">
      <c r="B459" s="198"/>
      <c r="C459" s="6"/>
      <c r="D459" s="6"/>
    </row>
    <row r="460" spans="2:4" ht="16.5" customHeight="1">
      <c r="B460" s="198"/>
      <c r="C460" s="6"/>
      <c r="D460" s="6"/>
    </row>
    <row r="461" spans="2:4" ht="16.5" customHeight="1">
      <c r="B461" s="198"/>
      <c r="C461" s="6"/>
      <c r="D461" s="6"/>
    </row>
    <row r="462" spans="2:4" ht="16.5" customHeight="1">
      <c r="B462" s="198"/>
      <c r="C462" s="6"/>
      <c r="D462" s="6"/>
    </row>
    <row r="463" spans="2:4" ht="16.5" customHeight="1">
      <c r="B463" s="198"/>
      <c r="C463" s="6"/>
      <c r="D463" s="6"/>
    </row>
    <row r="464" spans="2:4" ht="16.5" customHeight="1">
      <c r="B464" s="198"/>
      <c r="C464" s="6"/>
      <c r="D464" s="6"/>
    </row>
    <row r="465" spans="2:4" ht="16.5" customHeight="1">
      <c r="B465" s="198"/>
      <c r="C465" s="6"/>
      <c r="D465" s="6"/>
    </row>
    <row r="466" spans="2:4" ht="16.5" customHeight="1">
      <c r="B466" s="198"/>
      <c r="C466" s="6"/>
      <c r="D466" s="6"/>
    </row>
    <row r="467" spans="2:4" ht="16.5" customHeight="1">
      <c r="B467" s="198"/>
      <c r="C467" s="6"/>
      <c r="D467" s="6"/>
    </row>
    <row r="468" spans="2:4" ht="16.5" customHeight="1">
      <c r="B468" s="198"/>
      <c r="C468" s="6"/>
      <c r="D468" s="6"/>
    </row>
    <row r="469" spans="2:4" ht="16.5" customHeight="1">
      <c r="B469" s="198"/>
      <c r="C469" s="6"/>
      <c r="D469" s="6"/>
    </row>
    <row r="470" spans="2:4" ht="16.5" customHeight="1">
      <c r="B470" s="198"/>
      <c r="C470" s="6"/>
      <c r="D470" s="6"/>
    </row>
    <row r="471" spans="2:4" ht="16.5" customHeight="1">
      <c r="B471" s="198"/>
      <c r="C471" s="6"/>
      <c r="D471" s="6"/>
    </row>
    <row r="472" spans="2:4" ht="16.5" customHeight="1">
      <c r="B472" s="198"/>
      <c r="C472" s="6"/>
      <c r="D472" s="6"/>
    </row>
    <row r="473" spans="2:4" ht="16.5" customHeight="1">
      <c r="B473" s="198"/>
      <c r="C473" s="6"/>
      <c r="D473" s="6"/>
    </row>
    <row r="474" spans="2:4" ht="16.5" customHeight="1">
      <c r="B474" s="198"/>
      <c r="C474" s="6"/>
      <c r="D474" s="6"/>
    </row>
    <row r="475" spans="2:4" ht="16.5" customHeight="1">
      <c r="B475" s="198"/>
      <c r="C475" s="6"/>
      <c r="D475" s="6"/>
    </row>
    <row r="476" spans="2:4" ht="16.5" customHeight="1">
      <c r="B476" s="198"/>
      <c r="C476" s="6"/>
      <c r="D476" s="6"/>
    </row>
    <row r="477" spans="2:4" ht="16.5" customHeight="1">
      <c r="B477" s="198"/>
      <c r="C477" s="6"/>
      <c r="D477" s="6"/>
    </row>
    <row r="478" spans="2:4" ht="16.5" customHeight="1">
      <c r="B478" s="198"/>
      <c r="C478" s="6"/>
      <c r="D478" s="6"/>
    </row>
    <row r="479" spans="2:4" ht="16.5" customHeight="1">
      <c r="B479" s="198"/>
      <c r="C479" s="6"/>
      <c r="D479" s="6"/>
    </row>
    <row r="480" spans="2:4" ht="16.5" customHeight="1">
      <c r="B480" s="198"/>
      <c r="C480" s="6"/>
      <c r="D480" s="6"/>
    </row>
    <row r="481" spans="2:4" ht="16.5" customHeight="1">
      <c r="B481" s="198"/>
      <c r="C481" s="6"/>
      <c r="D481" s="6"/>
    </row>
    <row r="482" spans="2:4" ht="16.5" customHeight="1">
      <c r="B482" s="198"/>
      <c r="C482" s="6"/>
      <c r="D482" s="6"/>
    </row>
    <row r="483" spans="2:4" ht="16.5" customHeight="1">
      <c r="B483" s="198"/>
      <c r="C483" s="6"/>
      <c r="D483" s="6"/>
    </row>
    <row r="484" spans="2:4" ht="16.5" customHeight="1">
      <c r="B484" s="198"/>
      <c r="C484" s="6"/>
      <c r="D484" s="6"/>
    </row>
    <row r="485" spans="2:4" ht="16.5" customHeight="1">
      <c r="B485" s="198"/>
      <c r="C485" s="6"/>
      <c r="D485" s="6"/>
    </row>
    <row r="486" spans="2:4" ht="16.5" customHeight="1">
      <c r="B486" s="198"/>
      <c r="C486" s="6"/>
      <c r="D486" s="6"/>
    </row>
    <row r="487" spans="2:4" ht="16.5" customHeight="1">
      <c r="B487" s="198"/>
      <c r="C487" s="6"/>
      <c r="D487" s="6"/>
    </row>
    <row r="488" spans="2:4" ht="16.5" customHeight="1">
      <c r="B488" s="198"/>
      <c r="C488" s="6"/>
      <c r="D488" s="6"/>
    </row>
    <row r="489" spans="2:4" ht="16.5" customHeight="1">
      <c r="B489" s="198"/>
      <c r="C489" s="6"/>
      <c r="D489" s="6"/>
    </row>
    <row r="490" spans="2:4" ht="16.5" customHeight="1">
      <c r="B490" s="198"/>
      <c r="C490" s="6"/>
      <c r="D490" s="6"/>
    </row>
    <row r="491" spans="2:4" ht="16.5" customHeight="1">
      <c r="B491" s="198"/>
      <c r="C491" s="6"/>
      <c r="D491" s="6"/>
    </row>
    <row r="492" spans="2:4" ht="16.5" customHeight="1">
      <c r="B492" s="198"/>
      <c r="C492" s="6"/>
      <c r="D492" s="6"/>
    </row>
    <row r="493" spans="2:4" ht="16.5" customHeight="1">
      <c r="B493" s="198"/>
      <c r="C493" s="6"/>
      <c r="D493" s="6"/>
    </row>
    <row r="494" spans="2:4" ht="16.5" customHeight="1">
      <c r="B494" s="198"/>
      <c r="C494" s="6"/>
      <c r="D494" s="6"/>
    </row>
    <row r="495" spans="2:4" ht="16.5" customHeight="1">
      <c r="B495" s="198"/>
      <c r="C495" s="6"/>
      <c r="D495" s="6"/>
    </row>
    <row r="496" spans="2:4" ht="16.5" customHeight="1">
      <c r="B496" s="198"/>
      <c r="C496" s="6"/>
      <c r="D496" s="6"/>
    </row>
    <row r="497" spans="2:4" ht="16.5" customHeight="1">
      <c r="B497" s="198"/>
      <c r="C497" s="6"/>
      <c r="D497" s="6"/>
    </row>
    <row r="498" spans="2:4" ht="16.5" customHeight="1">
      <c r="B498" s="198"/>
      <c r="C498" s="6"/>
      <c r="D498" s="6"/>
    </row>
    <row r="499" spans="2:4" ht="16.5" customHeight="1">
      <c r="B499" s="198"/>
      <c r="C499" s="6"/>
      <c r="D499" s="6"/>
    </row>
    <row r="500" spans="2:4" ht="16.5" customHeight="1">
      <c r="B500" s="198"/>
      <c r="C500" s="6"/>
      <c r="D500" s="6"/>
    </row>
    <row r="501" spans="2:4" ht="16.5" customHeight="1">
      <c r="B501" s="198"/>
      <c r="C501" s="6"/>
      <c r="D501" s="6"/>
    </row>
    <row r="502" spans="2:4" ht="16.5" customHeight="1">
      <c r="B502" s="198"/>
      <c r="C502" s="6"/>
      <c r="D502" s="6"/>
    </row>
    <row r="503" spans="2:4" ht="16.5" customHeight="1">
      <c r="B503" s="198"/>
      <c r="C503" s="6"/>
      <c r="D503" s="6"/>
    </row>
    <row r="504" spans="2:4" ht="16.5" customHeight="1">
      <c r="B504" s="198"/>
      <c r="C504" s="6"/>
      <c r="D504" s="6"/>
    </row>
    <row r="505" spans="2:4" ht="16.5" customHeight="1">
      <c r="B505" s="198"/>
      <c r="C505" s="6"/>
      <c r="D505" s="6"/>
    </row>
    <row r="506" spans="2:4" ht="16.5" customHeight="1">
      <c r="B506" s="198"/>
      <c r="C506" s="6"/>
      <c r="D506" s="6"/>
    </row>
    <row r="507" spans="2:4" ht="16.5" customHeight="1">
      <c r="B507" s="198"/>
      <c r="C507" s="6"/>
      <c r="D507" s="6"/>
    </row>
    <row r="508" spans="2:4" ht="16.5" customHeight="1">
      <c r="B508" s="198"/>
      <c r="C508" s="18"/>
      <c r="D508" s="6"/>
    </row>
    <row r="509" spans="2:4" ht="16.5" customHeight="1">
      <c r="B509" s="198"/>
      <c r="C509" s="18"/>
      <c r="D509" s="6"/>
    </row>
    <row r="510" spans="2:4" ht="16.5" customHeight="1">
      <c r="B510" s="198"/>
      <c r="C510" s="18"/>
      <c r="D510" s="6"/>
    </row>
    <row r="511" spans="2:4" ht="16.5" customHeight="1">
      <c r="B511" s="198"/>
      <c r="C511" s="18"/>
      <c r="D511" s="6"/>
    </row>
    <row r="512" spans="2:4" ht="16.5" customHeight="1">
      <c r="B512" s="198"/>
      <c r="C512" s="18"/>
      <c r="D512" s="6"/>
    </row>
    <row r="513" spans="2:4" ht="16.5" customHeight="1">
      <c r="B513" s="198"/>
      <c r="C513" s="18"/>
      <c r="D513" s="6"/>
    </row>
    <row r="514" spans="2:4" ht="16.5" customHeight="1">
      <c r="B514" s="198"/>
      <c r="C514" s="18"/>
      <c r="D514" s="6"/>
    </row>
    <row r="515" spans="2:4" ht="16.5" customHeight="1">
      <c r="B515" s="198"/>
      <c r="C515" s="18"/>
      <c r="D515" s="6"/>
    </row>
    <row r="516" spans="2:4" ht="16.5" customHeight="1">
      <c r="B516" s="198"/>
      <c r="C516" s="18"/>
      <c r="D516" s="6"/>
    </row>
    <row r="517" spans="2:4" ht="16.5" customHeight="1">
      <c r="B517" s="198"/>
      <c r="C517" s="18"/>
      <c r="D517" s="6"/>
    </row>
    <row r="518" spans="2:4" ht="16.5" customHeight="1">
      <c r="B518" s="198"/>
      <c r="C518" s="18"/>
      <c r="D518" s="6"/>
    </row>
    <row r="519" spans="2:4" ht="16.5" customHeight="1">
      <c r="B519" s="198"/>
      <c r="C519" s="18"/>
      <c r="D519" s="6"/>
    </row>
    <row r="520" spans="2:4" ht="16.5" customHeight="1">
      <c r="B520" s="198"/>
      <c r="C520" s="18"/>
      <c r="D520" s="6"/>
    </row>
    <row r="521" spans="2:4" ht="16.5" customHeight="1">
      <c r="B521" s="198"/>
      <c r="C521" s="18"/>
      <c r="D521" s="6"/>
    </row>
    <row r="522" spans="2:4" ht="16.5" customHeight="1">
      <c r="B522" s="198"/>
      <c r="C522" s="18"/>
      <c r="D522" s="6"/>
    </row>
    <row r="523" spans="2:4" ht="16.5" customHeight="1">
      <c r="B523" s="198"/>
      <c r="C523" s="18"/>
      <c r="D523" s="6"/>
    </row>
    <row r="524" spans="2:4" ht="16.5" customHeight="1">
      <c r="B524" s="198"/>
      <c r="C524" s="18"/>
      <c r="D524" s="6"/>
    </row>
    <row r="525" spans="2:4" ht="16.5" customHeight="1">
      <c r="B525" s="198"/>
      <c r="C525" s="18"/>
      <c r="D525" s="6"/>
    </row>
    <row r="526" spans="2:4" ht="16.5" customHeight="1">
      <c r="B526" s="198"/>
      <c r="C526" s="18"/>
      <c r="D526" s="6"/>
    </row>
    <row r="527" spans="2:4" ht="16.5" customHeight="1">
      <c r="B527" s="198"/>
      <c r="C527" s="18"/>
      <c r="D527" s="6"/>
    </row>
    <row r="528" spans="2:4" ht="16.5" customHeight="1">
      <c r="B528" s="198"/>
      <c r="C528" s="18"/>
      <c r="D528" s="6"/>
    </row>
    <row r="529" spans="2:4" ht="16.5" customHeight="1">
      <c r="B529" s="198"/>
      <c r="C529" s="18"/>
      <c r="D529" s="6"/>
    </row>
    <row r="530" spans="2:4" ht="16.5" customHeight="1">
      <c r="B530" s="198"/>
      <c r="C530" s="18"/>
      <c r="D530" s="6"/>
    </row>
    <row r="531" spans="2:4" ht="16.5" customHeight="1">
      <c r="B531" s="198"/>
      <c r="C531" s="18"/>
      <c r="D531" s="6"/>
    </row>
    <row r="532" spans="2:4" ht="16.5" customHeight="1">
      <c r="B532" s="198"/>
      <c r="C532" s="18"/>
      <c r="D532" s="6"/>
    </row>
    <row r="533" spans="2:4" ht="16.5" customHeight="1">
      <c r="B533" s="198"/>
      <c r="C533" s="18"/>
      <c r="D533" s="6"/>
    </row>
    <row r="534" spans="2:4" ht="16.5" customHeight="1">
      <c r="B534" s="198"/>
      <c r="C534" s="18"/>
      <c r="D534" s="6"/>
    </row>
    <row r="535" spans="2:4" ht="16.5" customHeight="1">
      <c r="B535" s="198"/>
      <c r="C535" s="18"/>
      <c r="D535" s="6"/>
    </row>
    <row r="536" spans="2:4" ht="16.5" customHeight="1">
      <c r="B536" s="198"/>
      <c r="C536" s="18"/>
      <c r="D536" s="6"/>
    </row>
    <row r="537" spans="2:4" ht="16.5" customHeight="1">
      <c r="B537" s="198"/>
      <c r="C537" s="18"/>
      <c r="D537" s="6"/>
    </row>
    <row r="538" spans="2:4" ht="16.5" customHeight="1">
      <c r="B538" s="198"/>
      <c r="C538" s="18"/>
      <c r="D538" s="6"/>
    </row>
    <row r="539" spans="2:4" ht="16.5" customHeight="1">
      <c r="B539" s="198"/>
      <c r="C539" s="18"/>
      <c r="D539" s="6"/>
    </row>
    <row r="540" spans="2:4" ht="16.5" customHeight="1">
      <c r="B540" s="198"/>
      <c r="C540" s="18"/>
      <c r="D540" s="6"/>
    </row>
    <row r="541" spans="2:4" ht="16.5" customHeight="1">
      <c r="B541" s="198"/>
      <c r="C541" s="18"/>
      <c r="D541" s="6"/>
    </row>
    <row r="542" spans="2:4" ht="16.5" customHeight="1">
      <c r="B542" s="198"/>
      <c r="C542" s="18"/>
      <c r="D542" s="6"/>
    </row>
    <row r="543" spans="2:4" ht="16.5" customHeight="1">
      <c r="B543" s="198"/>
      <c r="C543" s="18"/>
      <c r="D543" s="6"/>
    </row>
    <row r="544" spans="2:4" ht="16.5" customHeight="1">
      <c r="B544" s="198"/>
      <c r="C544" s="18"/>
      <c r="D544" s="6"/>
    </row>
    <row r="545" spans="2:4" ht="16.5" customHeight="1">
      <c r="B545" s="198"/>
      <c r="C545" s="18"/>
      <c r="D545" s="6"/>
    </row>
    <row r="546" spans="2:4" ht="16.5" customHeight="1">
      <c r="B546" s="198"/>
      <c r="C546" s="18"/>
      <c r="D546" s="6"/>
    </row>
    <row r="547" spans="2:4" ht="16.5" customHeight="1">
      <c r="B547" s="198"/>
      <c r="C547" s="18"/>
      <c r="D547" s="6"/>
    </row>
    <row r="548" spans="2:4" ht="16.5" customHeight="1">
      <c r="B548" s="198"/>
      <c r="C548" s="18"/>
      <c r="D548" s="6"/>
    </row>
    <row r="549" spans="2:4" ht="16.5" customHeight="1">
      <c r="B549" s="198"/>
      <c r="C549" s="18"/>
      <c r="D549" s="6"/>
    </row>
    <row r="550" spans="2:4" ht="16.5" customHeight="1">
      <c r="B550" s="198"/>
      <c r="C550" s="18"/>
      <c r="D550" s="6"/>
    </row>
    <row r="551" spans="2:4" ht="16.5" customHeight="1">
      <c r="B551" s="198"/>
      <c r="C551" s="18"/>
      <c r="D551" s="6"/>
    </row>
    <row r="552" spans="2:4" ht="16.5" customHeight="1">
      <c r="B552" s="198"/>
      <c r="C552" s="18"/>
      <c r="D552" s="6"/>
    </row>
    <row r="553" spans="2:4" ht="16.5" customHeight="1">
      <c r="B553" s="198"/>
      <c r="C553" s="18"/>
      <c r="D553" s="6"/>
    </row>
    <row r="554" spans="2:4" ht="16.5" customHeight="1">
      <c r="B554" s="198"/>
      <c r="C554" s="18"/>
      <c r="D554" s="6"/>
    </row>
    <row r="555" spans="2:4" ht="16.5" customHeight="1">
      <c r="B555" s="198"/>
      <c r="C555" s="18"/>
      <c r="D555" s="6"/>
    </row>
    <row r="556" spans="2:4" ht="16.5" customHeight="1">
      <c r="B556" s="198"/>
      <c r="C556" s="18"/>
      <c r="D556" s="6"/>
    </row>
    <row r="557" spans="2:4" ht="16.5" customHeight="1">
      <c r="B557" s="198"/>
      <c r="C557" s="18"/>
      <c r="D557" s="6"/>
    </row>
    <row r="558" spans="2:4" ht="16.5" customHeight="1">
      <c r="B558" s="198"/>
      <c r="C558" s="18"/>
      <c r="D558" s="6"/>
    </row>
    <row r="559" spans="2:4" ht="16.5" customHeight="1">
      <c r="B559" s="198"/>
      <c r="C559" s="18"/>
      <c r="D559" s="6"/>
    </row>
    <row r="560" spans="2:4" ht="16.5" customHeight="1">
      <c r="B560" s="198"/>
      <c r="C560" s="18"/>
      <c r="D560" s="6"/>
    </row>
    <row r="561" spans="2:4" ht="16.5" customHeight="1">
      <c r="B561" s="198"/>
      <c r="C561" s="18"/>
      <c r="D561" s="6"/>
    </row>
    <row r="562" spans="2:4" ht="16.5" customHeight="1">
      <c r="B562" s="198"/>
      <c r="C562" s="18"/>
      <c r="D562" s="6"/>
    </row>
    <row r="563" spans="2:4" ht="16.5" customHeight="1">
      <c r="B563" s="198"/>
      <c r="C563" s="18"/>
      <c r="D563" s="6"/>
    </row>
    <row r="564" spans="2:4" ht="16.5" customHeight="1">
      <c r="B564" s="198"/>
      <c r="C564" s="18"/>
      <c r="D564" s="6"/>
    </row>
    <row r="565" spans="2:4" ht="16.5" customHeight="1">
      <c r="B565" s="198"/>
      <c r="C565" s="18"/>
      <c r="D565" s="6"/>
    </row>
    <row r="566" spans="2:4" ht="16.5" customHeight="1">
      <c r="B566" s="198"/>
      <c r="C566" s="18"/>
      <c r="D566" s="6"/>
    </row>
    <row r="567" spans="2:4" ht="16.5" customHeight="1">
      <c r="B567" s="198"/>
      <c r="C567" s="18"/>
      <c r="D567" s="6"/>
    </row>
    <row r="568" spans="2:4" ht="16.5" customHeight="1">
      <c r="B568" s="198"/>
      <c r="C568" s="18"/>
      <c r="D568" s="6"/>
    </row>
    <row r="569" spans="2:4" ht="16.5" customHeight="1">
      <c r="B569" s="198"/>
      <c r="C569" s="18"/>
      <c r="D569" s="6"/>
    </row>
    <row r="570" spans="2:4" ht="16.5" customHeight="1">
      <c r="B570" s="198"/>
      <c r="C570" s="18"/>
      <c r="D570" s="6"/>
    </row>
    <row r="571" spans="2:4" ht="16.5" customHeight="1">
      <c r="B571" s="198"/>
      <c r="C571" s="18"/>
      <c r="D571" s="6"/>
    </row>
    <row r="572" spans="2:4" ht="16.5" customHeight="1">
      <c r="B572" s="198"/>
      <c r="C572" s="18"/>
      <c r="D572" s="6"/>
    </row>
    <row r="573" spans="2:4" ht="16.5" customHeight="1">
      <c r="B573" s="198"/>
      <c r="C573" s="18"/>
      <c r="D573" s="6"/>
    </row>
    <row r="574" spans="2:4" ht="16.5" customHeight="1">
      <c r="B574" s="198"/>
      <c r="C574" s="18"/>
      <c r="D574" s="6"/>
    </row>
    <row r="575" spans="2:4" ht="16.5" customHeight="1">
      <c r="B575" s="198"/>
      <c r="C575" s="18"/>
      <c r="D575" s="6"/>
    </row>
    <row r="576" spans="2:4" ht="16.5" customHeight="1">
      <c r="B576" s="198"/>
      <c r="C576" s="18"/>
      <c r="D576" s="6"/>
    </row>
    <row r="577" spans="2:4" ht="16.5" customHeight="1">
      <c r="B577" s="198"/>
      <c r="C577" s="18"/>
      <c r="D577" s="6"/>
    </row>
    <row r="578" spans="2:4" ht="16.5" customHeight="1">
      <c r="B578" s="198"/>
      <c r="C578" s="18"/>
      <c r="D578" s="6"/>
    </row>
    <row r="579" spans="2:4" ht="16.5" customHeight="1">
      <c r="B579" s="198"/>
      <c r="C579" s="18"/>
      <c r="D579" s="6"/>
    </row>
    <row r="580" spans="2:4" ht="16.5" customHeight="1">
      <c r="B580" s="198"/>
      <c r="C580" s="18"/>
      <c r="D580" s="6"/>
    </row>
    <row r="581" spans="2:4" ht="16.5" customHeight="1">
      <c r="B581" s="198"/>
      <c r="C581" s="18"/>
      <c r="D581" s="6"/>
    </row>
    <row r="582" spans="2:4" ht="16.5" customHeight="1">
      <c r="B582" s="198"/>
      <c r="C582" s="18"/>
      <c r="D582" s="6"/>
    </row>
    <row r="583" spans="2:4" ht="16.5" customHeight="1">
      <c r="B583" s="198"/>
      <c r="C583" s="18"/>
      <c r="D583" s="6"/>
    </row>
    <row r="584" spans="2:4" ht="16.5" customHeight="1">
      <c r="B584" s="198"/>
      <c r="C584" s="18"/>
      <c r="D584" s="6"/>
    </row>
    <row r="585" spans="2:4" ht="16.5" customHeight="1">
      <c r="B585" s="198"/>
      <c r="C585" s="18"/>
      <c r="D585" s="6"/>
    </row>
    <row r="586" spans="2:4" ht="16.5" customHeight="1">
      <c r="B586" s="198"/>
      <c r="C586" s="18"/>
      <c r="D586" s="6"/>
    </row>
    <row r="587" spans="2:4" ht="16.5" customHeight="1">
      <c r="B587" s="198"/>
      <c r="C587" s="18"/>
      <c r="D587" s="6"/>
    </row>
    <row r="588" spans="2:4" ht="16.5" customHeight="1">
      <c r="B588" s="198"/>
      <c r="C588" s="18"/>
      <c r="D588" s="6"/>
    </row>
    <row r="589" spans="2:4" ht="16.5" customHeight="1">
      <c r="B589" s="198"/>
      <c r="C589" s="18"/>
      <c r="D589" s="6"/>
    </row>
    <row r="590" spans="2:4" ht="16.5" customHeight="1">
      <c r="B590" s="198"/>
      <c r="C590" s="18"/>
      <c r="D590" s="6"/>
    </row>
    <row r="591" spans="2:4" ht="16.5" customHeight="1">
      <c r="B591" s="198"/>
      <c r="C591" s="18"/>
      <c r="D591" s="6"/>
    </row>
    <row r="592" spans="2:4" ht="16.5" customHeight="1">
      <c r="B592" s="198"/>
      <c r="C592" s="18"/>
      <c r="D592" s="6"/>
    </row>
    <row r="593" spans="2:4" ht="16.5" customHeight="1">
      <c r="B593" s="198"/>
      <c r="C593" s="18"/>
      <c r="D593" s="6"/>
    </row>
    <row r="594" spans="2:4" ht="16.5" customHeight="1">
      <c r="B594" s="198"/>
      <c r="C594" s="18"/>
      <c r="D594" s="6"/>
    </row>
    <row r="595" spans="2:4" ht="16.5" customHeight="1">
      <c r="B595" s="198"/>
      <c r="C595" s="18"/>
      <c r="D595" s="6"/>
    </row>
    <row r="596" spans="2:4" ht="16.5" customHeight="1">
      <c r="B596" s="198"/>
      <c r="C596" s="18"/>
      <c r="D596" s="6"/>
    </row>
    <row r="597" spans="2:4" ht="16.5" customHeight="1">
      <c r="B597" s="198"/>
      <c r="C597" s="18"/>
      <c r="D597" s="6"/>
    </row>
    <row r="598" spans="2:4" ht="16.5" customHeight="1">
      <c r="B598" s="198"/>
      <c r="C598" s="18"/>
      <c r="D598" s="6"/>
    </row>
    <row r="599" spans="2:4" ht="16.5" customHeight="1">
      <c r="B599" s="198"/>
      <c r="C599" s="18"/>
      <c r="D599" s="6"/>
    </row>
    <row r="600" spans="2:4" ht="16.5" customHeight="1">
      <c r="B600" s="198"/>
      <c r="C600" s="18"/>
      <c r="D600" s="6"/>
    </row>
    <row r="601" spans="2:4" ht="16.5" customHeight="1">
      <c r="B601" s="198"/>
      <c r="C601" s="18"/>
      <c r="D601" s="6"/>
    </row>
    <row r="602" spans="1:4" ht="16.5" customHeight="1">
      <c r="A602" s="204"/>
      <c r="B602" s="204"/>
      <c r="C602" s="18"/>
      <c r="D602" s="6"/>
    </row>
    <row r="603" spans="1:4" ht="16.5" customHeight="1">
      <c r="A603" s="204"/>
      <c r="B603" s="204"/>
      <c r="C603" s="18"/>
      <c r="D603" s="6"/>
    </row>
    <row r="604" spans="1:4" ht="16.5" customHeight="1">
      <c r="A604" s="204"/>
      <c r="B604" s="204"/>
      <c r="C604" s="18"/>
      <c r="D604" s="6"/>
    </row>
    <row r="605" spans="1:4" ht="16.5" customHeight="1">
      <c r="A605" s="204"/>
      <c r="B605" s="204"/>
      <c r="C605" s="18"/>
      <c r="D605" s="6"/>
    </row>
    <row r="606" spans="1:4" ht="16.5" customHeight="1">
      <c r="A606" s="212"/>
      <c r="B606" s="212"/>
      <c r="C606" s="18"/>
      <c r="D606" s="6"/>
    </row>
    <row r="607" spans="1:4" ht="16.5" customHeight="1">
      <c r="A607" s="212"/>
      <c r="B607" s="212"/>
      <c r="C607" s="18"/>
      <c r="D607" s="6"/>
    </row>
    <row r="608" spans="1:4" ht="16.5" customHeight="1">
      <c r="A608" s="212"/>
      <c r="B608" s="212"/>
      <c r="C608" s="18"/>
      <c r="D608" s="6"/>
    </row>
    <row r="609" spans="1:4" ht="16.5" customHeight="1">
      <c r="A609" s="212"/>
      <c r="B609" s="212"/>
      <c r="C609" s="18"/>
      <c r="D609" s="6"/>
    </row>
    <row r="610" spans="1:4" ht="16.5" customHeight="1">
      <c r="A610" s="212"/>
      <c r="B610" s="212"/>
      <c r="C610" s="18"/>
      <c r="D610" s="6"/>
    </row>
    <row r="611" spans="1:4" ht="16.5" customHeight="1">
      <c r="A611" s="212"/>
      <c r="B611" s="212"/>
      <c r="C611" s="18"/>
      <c r="D611" s="6"/>
    </row>
    <row r="612" spans="1:4" ht="16.5" customHeight="1">
      <c r="A612" s="212"/>
      <c r="B612" s="212"/>
      <c r="C612" s="18"/>
      <c r="D612" s="6"/>
    </row>
    <row r="613" spans="1:4" ht="16.5" customHeight="1">
      <c r="A613" s="212"/>
      <c r="B613" s="212"/>
      <c r="C613" s="18"/>
      <c r="D613" s="6"/>
    </row>
    <row r="614" spans="1:4" ht="16.5" customHeight="1">
      <c r="A614" s="212"/>
      <c r="B614" s="212"/>
      <c r="C614" s="18"/>
      <c r="D614" s="6"/>
    </row>
    <row r="615" spans="1:4" ht="16.5" customHeight="1">
      <c r="A615" s="212"/>
      <c r="B615" s="212"/>
      <c r="C615" s="18"/>
      <c r="D615" s="6"/>
    </row>
    <row r="616" spans="1:4" ht="16.5" customHeight="1">
      <c r="A616" s="212"/>
      <c r="B616" s="212"/>
      <c r="C616" s="18"/>
      <c r="D616" s="6"/>
    </row>
    <row r="617" spans="1:4" ht="16.5" customHeight="1">
      <c r="A617" s="212"/>
      <c r="B617" s="212"/>
      <c r="C617" s="18"/>
      <c r="D617" s="6"/>
    </row>
    <row r="618" spans="1:4" ht="16.5" customHeight="1">
      <c r="A618" s="212"/>
      <c r="B618" s="212"/>
      <c r="C618" s="18"/>
      <c r="D618" s="6"/>
    </row>
    <row r="619" spans="1:4" ht="16.5" customHeight="1">
      <c r="A619" s="212"/>
      <c r="B619" s="212"/>
      <c r="C619" s="18"/>
      <c r="D619" s="6"/>
    </row>
    <row r="620" spans="1:4" ht="16.5" customHeight="1">
      <c r="A620" s="212"/>
      <c r="B620" s="212"/>
      <c r="C620" s="18"/>
      <c r="D620" s="6"/>
    </row>
    <row r="621" spans="1:4" ht="16.5" customHeight="1">
      <c r="A621" s="212"/>
      <c r="B621" s="212"/>
      <c r="C621" s="18"/>
      <c r="D621" s="6"/>
    </row>
    <row r="622" spans="1:4" ht="16.5" customHeight="1">
      <c r="A622" s="212"/>
      <c r="B622" s="212"/>
      <c r="C622" s="18"/>
      <c r="D622" s="6"/>
    </row>
    <row r="623" spans="1:4" ht="16.5" customHeight="1">
      <c r="A623" s="212"/>
      <c r="B623" s="212"/>
      <c r="C623" s="18"/>
      <c r="D623" s="6"/>
    </row>
    <row r="624" spans="1:4" ht="16.5" customHeight="1">
      <c r="A624" s="212"/>
      <c r="B624" s="212"/>
      <c r="C624" s="18"/>
      <c r="D624" s="6"/>
    </row>
    <row r="625" spans="1:4" ht="16.5" customHeight="1">
      <c r="A625" s="212"/>
      <c r="B625" s="212"/>
      <c r="C625" s="18"/>
      <c r="D625" s="6"/>
    </row>
    <row r="626" spans="1:4" ht="16.5" customHeight="1">
      <c r="A626" s="212"/>
      <c r="B626" s="212"/>
      <c r="C626" s="18"/>
      <c r="D626" s="6"/>
    </row>
    <row r="627" spans="1:4" ht="16.5" customHeight="1">
      <c r="A627" s="212"/>
      <c r="B627" s="214"/>
      <c r="C627" s="18"/>
      <c r="D627" s="6"/>
    </row>
    <row r="628" spans="1:4" ht="16.5" customHeight="1">
      <c r="A628" s="212"/>
      <c r="B628" s="215"/>
      <c r="C628" s="18"/>
      <c r="D628" s="6"/>
    </row>
    <row r="629" spans="1:4" ht="16.5" customHeight="1">
      <c r="A629" s="212"/>
      <c r="B629" s="212"/>
      <c r="C629" s="18"/>
      <c r="D629" s="6"/>
    </row>
    <row r="630" spans="1:4" ht="16.5" customHeight="1">
      <c r="A630" s="212"/>
      <c r="B630" s="212"/>
      <c r="C630" s="18"/>
      <c r="D630" s="6"/>
    </row>
    <row r="631" spans="1:4" ht="16.5" customHeight="1">
      <c r="A631" s="212"/>
      <c r="B631" s="212"/>
      <c r="C631" s="18"/>
      <c r="D631" s="6"/>
    </row>
    <row r="632" spans="1:4" ht="16.5" customHeight="1">
      <c r="A632" s="212"/>
      <c r="B632" s="212"/>
      <c r="C632" s="18"/>
      <c r="D632" s="6"/>
    </row>
    <row r="633" spans="1:4" ht="16.5" customHeight="1">
      <c r="A633" s="212"/>
      <c r="B633" s="212"/>
      <c r="C633" s="18"/>
      <c r="D633" s="6"/>
    </row>
    <row r="634" spans="1:4" ht="16.5" customHeight="1">
      <c r="A634" s="212"/>
      <c r="B634" s="212"/>
      <c r="C634" s="18"/>
      <c r="D634" s="6"/>
    </row>
    <row r="635" spans="1:4" ht="16.5" customHeight="1">
      <c r="A635" s="212"/>
      <c r="B635" s="212"/>
      <c r="C635" s="18"/>
      <c r="D635" s="6"/>
    </row>
    <row r="636" spans="1:4" ht="16.5" customHeight="1">
      <c r="A636" s="204"/>
      <c r="B636" s="204"/>
      <c r="C636" s="18"/>
      <c r="D636" s="6"/>
    </row>
    <row r="637" spans="1:4" ht="16.5" customHeight="1">
      <c r="A637" s="204"/>
      <c r="B637" s="204"/>
      <c r="C637" s="18"/>
      <c r="D637" s="6"/>
    </row>
    <row r="638" spans="1:4" ht="16.5" customHeight="1">
      <c r="A638" s="204"/>
      <c r="B638" s="204"/>
      <c r="C638" s="18"/>
      <c r="D638" s="6"/>
    </row>
    <row r="639" spans="1:4" ht="16.5" customHeight="1">
      <c r="A639" s="204"/>
      <c r="B639" s="204"/>
      <c r="C639" s="18"/>
      <c r="D639" s="6"/>
    </row>
    <row r="640" spans="1:4" ht="16.5" customHeight="1">
      <c r="A640" s="204"/>
      <c r="B640" s="204"/>
      <c r="C640" s="18"/>
      <c r="D640" s="6"/>
    </row>
    <row r="641" spans="1:4" ht="16.5" customHeight="1">
      <c r="A641" s="204"/>
      <c r="B641" s="204"/>
      <c r="C641" s="18"/>
      <c r="D641" s="6"/>
    </row>
    <row r="642" spans="2:4" ht="16.5" customHeight="1">
      <c r="B642" s="198"/>
      <c r="C642" s="18"/>
      <c r="D642" s="6"/>
    </row>
    <row r="643" spans="2:4" ht="16.5" customHeight="1">
      <c r="B643" s="198"/>
      <c r="C643" s="18"/>
      <c r="D643" s="6"/>
    </row>
    <row r="644" spans="2:4" ht="16.5" customHeight="1">
      <c r="B644" s="198"/>
      <c r="C644" s="18"/>
      <c r="D644" s="6"/>
    </row>
    <row r="645" spans="2:4" ht="16.5" customHeight="1">
      <c r="B645" s="198"/>
      <c r="C645" s="18"/>
      <c r="D645" s="6"/>
    </row>
    <row r="646" spans="2:4" ht="16.5" customHeight="1">
      <c r="B646" s="198"/>
      <c r="C646" s="18"/>
      <c r="D646" s="6"/>
    </row>
    <row r="647" spans="2:4" ht="16.5" customHeight="1">
      <c r="B647" s="198"/>
      <c r="C647" s="18"/>
      <c r="D647" s="6"/>
    </row>
    <row r="648" spans="2:4" ht="16.5" customHeight="1">
      <c r="B648" s="198"/>
      <c r="C648" s="18"/>
      <c r="D648" s="6"/>
    </row>
    <row r="649" spans="2:4" ht="16.5" customHeight="1">
      <c r="B649" s="198"/>
      <c r="C649" s="18"/>
      <c r="D649" s="6"/>
    </row>
    <row r="650" spans="2:4" ht="16.5" customHeight="1">
      <c r="B650" s="198"/>
      <c r="C650" s="18"/>
      <c r="D650" s="6"/>
    </row>
    <row r="651" spans="2:4" ht="16.5" customHeight="1">
      <c r="B651" s="198"/>
      <c r="C651" s="18"/>
      <c r="D651" s="6"/>
    </row>
    <row r="652" spans="2:4" ht="16.5" customHeight="1">
      <c r="B652" s="198"/>
      <c r="C652" s="18"/>
      <c r="D652" s="6"/>
    </row>
    <row r="653" spans="2:4" ht="16.5" customHeight="1">
      <c r="B653" s="198"/>
      <c r="C653" s="18"/>
      <c r="D653" s="6"/>
    </row>
    <row r="654" spans="2:4" ht="16.5" customHeight="1">
      <c r="B654" s="198"/>
      <c r="C654" s="18"/>
      <c r="D654" s="6"/>
    </row>
    <row r="655" spans="2:4" ht="16.5" customHeight="1">
      <c r="B655" s="198"/>
      <c r="C655" s="18"/>
      <c r="D655" s="6"/>
    </row>
    <row r="656" spans="2:4" ht="16.5" customHeight="1">
      <c r="B656" s="198"/>
      <c r="C656" s="18"/>
      <c r="D656" s="6"/>
    </row>
    <row r="657" spans="2:4" ht="16.5" customHeight="1">
      <c r="B657" s="198"/>
      <c r="C657" s="18"/>
      <c r="D657" s="6"/>
    </row>
    <row r="658" spans="2:4" ht="16.5" customHeight="1">
      <c r="B658" s="198"/>
      <c r="C658" s="18"/>
      <c r="D658" s="6"/>
    </row>
    <row r="659" spans="2:4" ht="16.5" customHeight="1">
      <c r="B659" s="198"/>
      <c r="C659" s="18"/>
      <c r="D659" s="6"/>
    </row>
    <row r="660" spans="2:4" ht="16.5" customHeight="1">
      <c r="B660" s="198"/>
      <c r="C660" s="18"/>
      <c r="D660" s="6"/>
    </row>
    <row r="661" spans="2:4" ht="16.5" customHeight="1">
      <c r="B661" s="198"/>
      <c r="C661" s="18"/>
      <c r="D661" s="6"/>
    </row>
    <row r="662" spans="2:4" ht="16.5" customHeight="1">
      <c r="B662" s="198"/>
      <c r="C662" s="18"/>
      <c r="D662" s="6"/>
    </row>
    <row r="663" spans="2:4" ht="16.5" customHeight="1">
      <c r="B663" s="198"/>
      <c r="C663" s="18"/>
      <c r="D663" s="6"/>
    </row>
    <row r="664" spans="2:4" ht="16.5" customHeight="1">
      <c r="B664" s="198"/>
      <c r="C664" s="18"/>
      <c r="D664" s="6"/>
    </row>
    <row r="665" spans="2:4" ht="16.5" customHeight="1">
      <c r="B665" s="198"/>
      <c r="C665" s="18"/>
      <c r="D665" s="6"/>
    </row>
    <row r="666" spans="2:4" ht="16.5" customHeight="1">
      <c r="B666" s="198"/>
      <c r="C666" s="18"/>
      <c r="D666" s="6"/>
    </row>
    <row r="667" spans="2:4" ht="16.5" customHeight="1">
      <c r="B667" s="198"/>
      <c r="C667" s="18"/>
      <c r="D667" s="6"/>
    </row>
    <row r="668" spans="2:4" ht="16.5" customHeight="1">
      <c r="B668" s="198"/>
      <c r="C668" s="18"/>
      <c r="D668" s="6"/>
    </row>
    <row r="669" spans="2:4" ht="16.5" customHeight="1">
      <c r="B669" s="198"/>
      <c r="C669" s="18"/>
      <c r="D669" s="6"/>
    </row>
    <row r="670" spans="2:4" ht="16.5" customHeight="1">
      <c r="B670" s="198"/>
      <c r="C670" s="18"/>
      <c r="D670" s="6"/>
    </row>
    <row r="671" spans="2:4" ht="16.5" customHeight="1">
      <c r="B671" s="198"/>
      <c r="C671" s="18"/>
      <c r="D671" s="6"/>
    </row>
    <row r="672" spans="2:4" ht="16.5" customHeight="1">
      <c r="B672" s="198"/>
      <c r="C672" s="18"/>
      <c r="D672" s="6"/>
    </row>
    <row r="673" spans="2:4" ht="16.5" customHeight="1">
      <c r="B673" s="198"/>
      <c r="C673" s="18"/>
      <c r="D673" s="6"/>
    </row>
    <row r="674" spans="2:4" ht="16.5" customHeight="1">
      <c r="B674" s="198"/>
      <c r="C674" s="18"/>
      <c r="D674" s="6"/>
    </row>
    <row r="675" spans="2:4" ht="16.5" customHeight="1">
      <c r="B675" s="198"/>
      <c r="C675" s="18"/>
      <c r="D675" s="6"/>
    </row>
    <row r="676" spans="2:4" ht="16.5" customHeight="1">
      <c r="B676" s="198"/>
      <c r="C676" s="18"/>
      <c r="D676" s="6"/>
    </row>
    <row r="677" spans="2:4" ht="16.5" customHeight="1">
      <c r="B677" s="198"/>
      <c r="C677" s="18"/>
      <c r="D677" s="6"/>
    </row>
    <row r="678" spans="2:4" ht="16.5" customHeight="1">
      <c r="B678" s="198"/>
      <c r="C678" s="18"/>
      <c r="D678" s="6"/>
    </row>
    <row r="679" spans="2:4" ht="16.5" customHeight="1">
      <c r="B679" s="198"/>
      <c r="C679" s="18"/>
      <c r="D679" s="6"/>
    </row>
    <row r="680" spans="2:4" ht="16.5" customHeight="1">
      <c r="B680" s="198"/>
      <c r="C680" s="18"/>
      <c r="D680" s="6"/>
    </row>
    <row r="681" spans="2:4" ht="16.5" customHeight="1">
      <c r="B681" s="198"/>
      <c r="C681" s="18"/>
      <c r="D681" s="6"/>
    </row>
    <row r="682" spans="2:4" ht="16.5" customHeight="1">
      <c r="B682" s="198"/>
      <c r="C682" s="18"/>
      <c r="D682" s="6"/>
    </row>
    <row r="683" spans="2:4" ht="16.5" customHeight="1">
      <c r="B683" s="198"/>
      <c r="C683" s="18"/>
      <c r="D683" s="6"/>
    </row>
    <row r="684" spans="2:4" ht="16.5" customHeight="1">
      <c r="B684" s="198"/>
      <c r="C684" s="18"/>
      <c r="D684" s="6"/>
    </row>
    <row r="685" spans="2:4" ht="16.5" customHeight="1">
      <c r="B685" s="198"/>
      <c r="C685" s="18"/>
      <c r="D685" s="6"/>
    </row>
    <row r="686" spans="2:4" ht="16.5" customHeight="1">
      <c r="B686" s="198"/>
      <c r="C686" s="18"/>
      <c r="D686" s="6"/>
    </row>
    <row r="687" spans="2:4" ht="16.5" customHeight="1">
      <c r="B687" s="198"/>
      <c r="C687" s="18"/>
      <c r="D687" s="6"/>
    </row>
    <row r="688" spans="2:4" ht="16.5" customHeight="1">
      <c r="B688" s="198"/>
      <c r="C688" s="18"/>
      <c r="D688" s="6"/>
    </row>
    <row r="689" spans="2:4" ht="16.5" customHeight="1">
      <c r="B689" s="198"/>
      <c r="C689" s="18"/>
      <c r="D689" s="6"/>
    </row>
    <row r="690" spans="2:4" ht="16.5" customHeight="1">
      <c r="B690" s="198"/>
      <c r="C690" s="18"/>
      <c r="D690" s="6"/>
    </row>
    <row r="691" spans="2:4" ht="16.5" customHeight="1">
      <c r="B691" s="198"/>
      <c r="C691" s="18"/>
      <c r="D691" s="6"/>
    </row>
    <row r="692" spans="2:4" ht="16.5" customHeight="1">
      <c r="B692" s="198"/>
      <c r="C692" s="18"/>
      <c r="D692" s="6"/>
    </row>
    <row r="693" spans="2:4" ht="16.5" customHeight="1">
      <c r="B693" s="198"/>
      <c r="C693" s="18"/>
      <c r="D693" s="6"/>
    </row>
    <row r="694" spans="2:4" ht="16.5" customHeight="1">
      <c r="B694" s="198"/>
      <c r="C694" s="18"/>
      <c r="D694" s="6"/>
    </row>
    <row r="695" spans="2:4" ht="16.5" customHeight="1">
      <c r="B695" s="198"/>
      <c r="C695" s="18"/>
      <c r="D695" s="6"/>
    </row>
    <row r="696" spans="2:4" ht="16.5" customHeight="1">
      <c r="B696" s="198"/>
      <c r="C696" s="18"/>
      <c r="D696" s="6"/>
    </row>
    <row r="697" spans="2:4" ht="16.5" customHeight="1">
      <c r="B697" s="198"/>
      <c r="C697" s="18"/>
      <c r="D697" s="6"/>
    </row>
    <row r="698" spans="2:4" ht="16.5" customHeight="1">
      <c r="B698" s="198"/>
      <c r="C698" s="18"/>
      <c r="D698" s="6"/>
    </row>
    <row r="699" spans="2:4" ht="16.5" customHeight="1">
      <c r="B699" s="198"/>
      <c r="C699" s="18"/>
      <c r="D699" s="6"/>
    </row>
    <row r="700" spans="2:4" ht="16.5" customHeight="1">
      <c r="B700" s="198"/>
      <c r="C700" s="18"/>
      <c r="D700" s="6"/>
    </row>
    <row r="701" spans="2:4" ht="16.5" customHeight="1">
      <c r="B701" s="198"/>
      <c r="C701" s="18"/>
      <c r="D701" s="6"/>
    </row>
    <row r="702" spans="2:4" ht="16.5" customHeight="1">
      <c r="B702" s="198"/>
      <c r="C702" s="18"/>
      <c r="D702" s="6"/>
    </row>
    <row r="703" spans="2:4" ht="16.5" customHeight="1">
      <c r="B703" s="198"/>
      <c r="C703" s="18"/>
      <c r="D703" s="6"/>
    </row>
    <row r="704" spans="2:4" ht="16.5" customHeight="1">
      <c r="B704" s="198"/>
      <c r="C704" s="18"/>
      <c r="D704" s="6"/>
    </row>
    <row r="705" spans="2:4" ht="16.5" customHeight="1">
      <c r="B705" s="198"/>
      <c r="C705" s="18"/>
      <c r="D705" s="6"/>
    </row>
    <row r="706" spans="2:4" ht="16.5" customHeight="1">
      <c r="B706" s="198"/>
      <c r="C706" s="18"/>
      <c r="D706" s="6"/>
    </row>
    <row r="707" spans="2:4" ht="16.5" customHeight="1">
      <c r="B707" s="198"/>
      <c r="C707" s="18"/>
      <c r="D707" s="6"/>
    </row>
    <row r="708" spans="2:4" ht="16.5" customHeight="1">
      <c r="B708" s="198"/>
      <c r="C708" s="18"/>
      <c r="D708" s="6"/>
    </row>
    <row r="709" spans="2:4" ht="16.5" customHeight="1">
      <c r="B709" s="198"/>
      <c r="C709" s="18"/>
      <c r="D709" s="6"/>
    </row>
    <row r="710" spans="2:4" ht="16.5" customHeight="1">
      <c r="B710" s="198"/>
      <c r="C710" s="18"/>
      <c r="D710" s="6"/>
    </row>
    <row r="711" spans="2:4" ht="16.5" customHeight="1">
      <c r="B711" s="198"/>
      <c r="C711" s="18"/>
      <c r="D711" s="6"/>
    </row>
    <row r="712" spans="2:4" ht="16.5" customHeight="1">
      <c r="B712" s="198"/>
      <c r="C712" s="18"/>
      <c r="D712" s="6"/>
    </row>
    <row r="713" spans="2:4" ht="16.5" customHeight="1">
      <c r="B713" s="198"/>
      <c r="C713" s="18"/>
      <c r="D713" s="6"/>
    </row>
    <row r="714" spans="2:4" ht="16.5" customHeight="1">
      <c r="B714" s="198"/>
      <c r="C714" s="18"/>
      <c r="D714" s="6"/>
    </row>
    <row r="715" spans="2:4" ht="16.5" customHeight="1">
      <c r="B715" s="198"/>
      <c r="C715" s="18"/>
      <c r="D715" s="6"/>
    </row>
    <row r="716" spans="2:4" ht="16.5" customHeight="1">
      <c r="B716" s="198"/>
      <c r="C716" s="18"/>
      <c r="D716" s="6"/>
    </row>
    <row r="717" spans="2:4" ht="16.5" customHeight="1">
      <c r="B717" s="198"/>
      <c r="C717" s="18"/>
      <c r="D717" s="6"/>
    </row>
    <row r="718" spans="2:4" ht="16.5" customHeight="1">
      <c r="B718" s="198"/>
      <c r="C718" s="18"/>
      <c r="D718" s="6"/>
    </row>
    <row r="719" spans="2:4" ht="16.5" customHeight="1">
      <c r="B719" s="198"/>
      <c r="C719" s="18"/>
      <c r="D719" s="6"/>
    </row>
    <row r="720" spans="2:4" ht="16.5" customHeight="1">
      <c r="B720" s="198"/>
      <c r="C720" s="18"/>
      <c r="D720" s="6"/>
    </row>
    <row r="721" spans="2:4" ht="16.5" customHeight="1">
      <c r="B721" s="198"/>
      <c r="C721" s="18"/>
      <c r="D721" s="6"/>
    </row>
    <row r="722" spans="2:4" ht="16.5" customHeight="1">
      <c r="B722" s="198"/>
      <c r="C722" s="18"/>
      <c r="D722" s="6"/>
    </row>
    <row r="723" spans="2:4" ht="16.5" customHeight="1">
      <c r="B723" s="198"/>
      <c r="C723" s="18"/>
      <c r="D723" s="6"/>
    </row>
    <row r="724" spans="2:4" ht="16.5" customHeight="1">
      <c r="B724" s="198"/>
      <c r="C724" s="18"/>
      <c r="D724" s="6"/>
    </row>
    <row r="725" spans="2:4" ht="16.5" customHeight="1">
      <c r="B725" s="198"/>
      <c r="C725" s="18"/>
      <c r="D725" s="6"/>
    </row>
    <row r="726" spans="2:4" ht="16.5" customHeight="1">
      <c r="B726" s="198"/>
      <c r="C726" s="18"/>
      <c r="D726" s="6"/>
    </row>
    <row r="727" spans="2:4" ht="16.5" customHeight="1">
      <c r="B727" s="198"/>
      <c r="C727" s="18"/>
      <c r="D727" s="6"/>
    </row>
    <row r="728" spans="2:4" ht="16.5" customHeight="1">
      <c r="B728" s="198"/>
      <c r="C728" s="18"/>
      <c r="D728" s="6"/>
    </row>
    <row r="729" spans="2:4" ht="16.5" customHeight="1">
      <c r="B729" s="198"/>
      <c r="C729" s="18"/>
      <c r="D729" s="6"/>
    </row>
    <row r="730" spans="2:4" ht="16.5" customHeight="1">
      <c r="B730" s="198"/>
      <c r="C730" s="18"/>
      <c r="D730" s="6"/>
    </row>
    <row r="731" spans="2:4" ht="16.5" customHeight="1">
      <c r="B731" s="198"/>
      <c r="C731" s="18"/>
      <c r="D731" s="6"/>
    </row>
    <row r="732" spans="2:4" ht="16.5" customHeight="1">
      <c r="B732" s="198"/>
      <c r="C732" s="18"/>
      <c r="D732" s="6"/>
    </row>
    <row r="733" spans="2:4" ht="16.5" customHeight="1">
      <c r="B733" s="198"/>
      <c r="C733" s="18"/>
      <c r="D733" s="6"/>
    </row>
    <row r="734" spans="2:4" ht="16.5" customHeight="1">
      <c r="B734" s="198"/>
      <c r="C734" s="18"/>
      <c r="D734" s="6"/>
    </row>
    <row r="735" spans="2:4" ht="16.5" customHeight="1">
      <c r="B735" s="198"/>
      <c r="C735" s="18"/>
      <c r="D735" s="6"/>
    </row>
    <row r="736" spans="2:4" ht="16.5" customHeight="1">
      <c r="B736" s="198"/>
      <c r="C736" s="18"/>
      <c r="D736" s="6"/>
    </row>
    <row r="737" spans="2:4" ht="16.5" customHeight="1">
      <c r="B737" s="198"/>
      <c r="C737" s="18"/>
      <c r="D737" s="6"/>
    </row>
    <row r="738" spans="2:4" ht="16.5" customHeight="1">
      <c r="B738" s="198"/>
      <c r="C738" s="18"/>
      <c r="D738" s="6"/>
    </row>
    <row r="739" spans="2:4" ht="16.5" customHeight="1">
      <c r="B739" s="198"/>
      <c r="C739" s="18"/>
      <c r="D739" s="6"/>
    </row>
    <row r="740" spans="2:4" ht="16.5" customHeight="1">
      <c r="B740" s="198"/>
      <c r="C740" s="18"/>
      <c r="D740" s="6"/>
    </row>
    <row r="741" spans="2:4" ht="16.5" customHeight="1">
      <c r="B741" s="198"/>
      <c r="C741" s="18"/>
      <c r="D741" s="6"/>
    </row>
    <row r="742" spans="2:4" ht="16.5" customHeight="1">
      <c r="B742" s="198"/>
      <c r="C742" s="18"/>
      <c r="D742" s="6"/>
    </row>
    <row r="743" spans="2:4" ht="16.5" customHeight="1">
      <c r="B743" s="198"/>
      <c r="C743" s="18"/>
      <c r="D743" s="6"/>
    </row>
    <row r="744" spans="2:4" ht="16.5" customHeight="1">
      <c r="B744" s="198"/>
      <c r="C744" s="18"/>
      <c r="D744" s="6"/>
    </row>
    <row r="745" spans="2:4" ht="16.5" customHeight="1">
      <c r="B745" s="198"/>
      <c r="C745" s="18"/>
      <c r="D745" s="6"/>
    </row>
    <row r="746" spans="2:4" ht="16.5" customHeight="1">
      <c r="B746" s="198"/>
      <c r="C746" s="18"/>
      <c r="D746" s="6"/>
    </row>
    <row r="747" spans="2:4" ht="16.5" customHeight="1">
      <c r="B747" s="198"/>
      <c r="C747" s="18"/>
      <c r="D747" s="6"/>
    </row>
    <row r="748" spans="2:4" ht="16.5" customHeight="1">
      <c r="B748" s="198"/>
      <c r="C748" s="18"/>
      <c r="D748" s="6"/>
    </row>
    <row r="749" spans="2:4" ht="16.5" customHeight="1">
      <c r="B749" s="198"/>
      <c r="C749" s="18"/>
      <c r="D749" s="6"/>
    </row>
    <row r="750" spans="2:4" ht="16.5" customHeight="1">
      <c r="B750" s="198"/>
      <c r="C750" s="18"/>
      <c r="D750" s="6"/>
    </row>
    <row r="751" spans="2:4" ht="16.5" customHeight="1">
      <c r="B751" s="198"/>
      <c r="C751" s="18"/>
      <c r="D751" s="6"/>
    </row>
    <row r="752" spans="2:4" ht="16.5" customHeight="1">
      <c r="B752" s="198"/>
      <c r="C752" s="18"/>
      <c r="D752" s="6"/>
    </row>
    <row r="753" spans="2:4" ht="16.5" customHeight="1">
      <c r="B753" s="198"/>
      <c r="C753" s="18"/>
      <c r="D753" s="6"/>
    </row>
    <row r="754" spans="2:4" ht="16.5" customHeight="1">
      <c r="B754" s="198"/>
      <c r="C754" s="18"/>
      <c r="D754" s="6"/>
    </row>
    <row r="755" spans="2:4" ht="16.5" customHeight="1">
      <c r="B755" s="198"/>
      <c r="C755" s="18"/>
      <c r="D755" s="6"/>
    </row>
    <row r="756" spans="2:4" ht="16.5" customHeight="1">
      <c r="B756" s="198"/>
      <c r="C756" s="18"/>
      <c r="D756" s="6"/>
    </row>
    <row r="757" spans="2:4" ht="16.5" customHeight="1">
      <c r="B757" s="198"/>
      <c r="C757" s="18"/>
      <c r="D757" s="6"/>
    </row>
    <row r="758" spans="2:4" ht="16.5" customHeight="1">
      <c r="B758" s="198"/>
      <c r="C758" s="18"/>
      <c r="D758" s="6"/>
    </row>
    <row r="759" spans="2:4" ht="16.5" customHeight="1">
      <c r="B759" s="198"/>
      <c r="C759" s="18"/>
      <c r="D759" s="6"/>
    </row>
    <row r="760" spans="2:4" ht="16.5" customHeight="1">
      <c r="B760" s="198"/>
      <c r="C760" s="18"/>
      <c r="D760" s="6"/>
    </row>
    <row r="761" spans="2:4" ht="16.5" customHeight="1">
      <c r="B761" s="198"/>
      <c r="C761" s="18"/>
      <c r="D761" s="6"/>
    </row>
    <row r="762" spans="2:4" ht="16.5" customHeight="1">
      <c r="B762" s="198"/>
      <c r="C762" s="18"/>
      <c r="D762" s="6"/>
    </row>
    <row r="763" spans="2:4" ht="16.5" customHeight="1">
      <c r="B763" s="198"/>
      <c r="C763" s="18"/>
      <c r="D763" s="6"/>
    </row>
    <row r="764" spans="2:4" ht="16.5" customHeight="1">
      <c r="B764" s="198"/>
      <c r="C764" s="18"/>
      <c r="D764" s="6"/>
    </row>
    <row r="765" spans="2:4" ht="16.5" customHeight="1">
      <c r="B765" s="198"/>
      <c r="C765" s="18"/>
      <c r="D765" s="6"/>
    </row>
    <row r="766" spans="2:4" ht="16.5" customHeight="1">
      <c r="B766" s="198"/>
      <c r="C766" s="18"/>
      <c r="D766" s="6"/>
    </row>
    <row r="767" spans="2:4" ht="16.5" customHeight="1">
      <c r="B767" s="198"/>
      <c r="C767" s="18"/>
      <c r="D767" s="6"/>
    </row>
    <row r="768" spans="2:4" ht="16.5" customHeight="1">
      <c r="B768" s="198"/>
      <c r="C768" s="18"/>
      <c r="D768" s="6"/>
    </row>
    <row r="769" spans="2:4" ht="16.5" customHeight="1">
      <c r="B769" s="198"/>
      <c r="C769" s="18"/>
      <c r="D769" s="6"/>
    </row>
    <row r="770" spans="2:4" ht="16.5" customHeight="1">
      <c r="B770" s="198"/>
      <c r="C770" s="18"/>
      <c r="D770" s="6"/>
    </row>
    <row r="771" spans="2:4" ht="16.5" customHeight="1">
      <c r="B771" s="198"/>
      <c r="C771" s="18"/>
      <c r="D771" s="6"/>
    </row>
    <row r="772" spans="2:4" ht="16.5" customHeight="1">
      <c r="B772" s="198"/>
      <c r="C772" s="18"/>
      <c r="D772" s="6"/>
    </row>
    <row r="773" spans="2:4" ht="16.5" customHeight="1">
      <c r="B773" s="198"/>
      <c r="C773" s="18"/>
      <c r="D773" s="6"/>
    </row>
    <row r="774" spans="2:4" ht="16.5" customHeight="1">
      <c r="B774" s="198"/>
      <c r="C774" s="18"/>
      <c r="D774" s="6"/>
    </row>
    <row r="775" spans="2:4" ht="16.5" customHeight="1">
      <c r="B775" s="198"/>
      <c r="C775" s="18"/>
      <c r="D775" s="6"/>
    </row>
    <row r="776" spans="2:4" ht="16.5" customHeight="1">
      <c r="B776" s="198"/>
      <c r="C776" s="18"/>
      <c r="D776" s="6"/>
    </row>
    <row r="777" spans="2:4" ht="16.5" customHeight="1">
      <c r="B777" s="198"/>
      <c r="C777" s="18"/>
      <c r="D777" s="6"/>
    </row>
    <row r="778" spans="2:4" ht="16.5" customHeight="1">
      <c r="B778" s="198"/>
      <c r="C778" s="18"/>
      <c r="D778" s="6"/>
    </row>
    <row r="779" spans="2:4" ht="16.5" customHeight="1">
      <c r="B779" s="198"/>
      <c r="C779" s="18"/>
      <c r="D779" s="6"/>
    </row>
    <row r="780" spans="2:4" ht="16.5" customHeight="1">
      <c r="B780" s="198"/>
      <c r="C780" s="18"/>
      <c r="D780" s="6"/>
    </row>
    <row r="781" spans="2:4" ht="16.5" customHeight="1">
      <c r="B781" s="198"/>
      <c r="C781" s="18"/>
      <c r="D781" s="6"/>
    </row>
    <row r="782" spans="2:4" ht="16.5" customHeight="1">
      <c r="B782" s="198"/>
      <c r="C782" s="18"/>
      <c r="D782" s="6"/>
    </row>
    <row r="783" spans="2:4" ht="16.5" customHeight="1">
      <c r="B783" s="198"/>
      <c r="C783" s="18"/>
      <c r="D783" s="6"/>
    </row>
    <row r="784" spans="2:4" ht="16.5" customHeight="1">
      <c r="B784" s="198"/>
      <c r="C784" s="18"/>
      <c r="D784" s="6"/>
    </row>
    <row r="785" spans="2:4" ht="16.5" customHeight="1">
      <c r="B785" s="198"/>
      <c r="C785" s="18"/>
      <c r="D785" s="6"/>
    </row>
    <row r="786" spans="2:4" ht="16.5" customHeight="1">
      <c r="B786" s="198"/>
      <c r="C786" s="18"/>
      <c r="D786" s="6"/>
    </row>
    <row r="787" spans="2:4" ht="16.5" customHeight="1">
      <c r="B787" s="198"/>
      <c r="C787" s="18"/>
      <c r="D787" s="6"/>
    </row>
    <row r="788" spans="2:4" ht="16.5" customHeight="1">
      <c r="B788" s="198"/>
      <c r="C788" s="18"/>
      <c r="D788" s="6"/>
    </row>
    <row r="789" spans="2:4" ht="16.5" customHeight="1">
      <c r="B789" s="198"/>
      <c r="C789" s="18"/>
      <c r="D789" s="6"/>
    </row>
    <row r="790" spans="2:4" ht="16.5" customHeight="1">
      <c r="B790" s="198"/>
      <c r="C790" s="18"/>
      <c r="D790" s="6"/>
    </row>
    <row r="791" spans="2:4" ht="16.5" customHeight="1">
      <c r="B791" s="198"/>
      <c r="C791" s="18"/>
      <c r="D791" s="6"/>
    </row>
    <row r="792" spans="2:4" ht="16.5" customHeight="1">
      <c r="B792" s="198"/>
      <c r="C792" s="18"/>
      <c r="D792" s="6"/>
    </row>
    <row r="793" spans="2:4" ht="16.5" customHeight="1">
      <c r="B793" s="198"/>
      <c r="C793" s="18"/>
      <c r="D793" s="6"/>
    </row>
    <row r="794" spans="2:4" ht="16.5" customHeight="1">
      <c r="B794" s="198"/>
      <c r="C794" s="18"/>
      <c r="D794" s="6"/>
    </row>
    <row r="795" spans="2:4" ht="16.5" customHeight="1">
      <c r="B795" s="198"/>
      <c r="C795" s="18"/>
      <c r="D795" s="6"/>
    </row>
    <row r="796" spans="2:4" ht="16.5" customHeight="1">
      <c r="B796" s="198"/>
      <c r="C796" s="18"/>
      <c r="D796" s="6"/>
    </row>
    <row r="797" spans="2:4" ht="16.5" customHeight="1">
      <c r="B797" s="198"/>
      <c r="C797" s="18"/>
      <c r="D797" s="6"/>
    </row>
    <row r="798" spans="2:4" ht="16.5" customHeight="1">
      <c r="B798" s="198"/>
      <c r="C798" s="18"/>
      <c r="D798" s="6"/>
    </row>
    <row r="799" spans="2:4" ht="16.5" customHeight="1">
      <c r="B799" s="198"/>
      <c r="C799" s="18"/>
      <c r="D799" s="6"/>
    </row>
    <row r="800" spans="2:4" ht="16.5" customHeight="1">
      <c r="B800" s="198"/>
      <c r="C800" s="18"/>
      <c r="D800" s="6"/>
    </row>
    <row r="801" spans="2:4" ht="16.5" customHeight="1">
      <c r="B801" s="198"/>
      <c r="C801" s="18"/>
      <c r="D801" s="6"/>
    </row>
    <row r="802" spans="2:4" ht="16.5" customHeight="1">
      <c r="B802" s="198"/>
      <c r="C802" s="18"/>
      <c r="D802" s="6"/>
    </row>
    <row r="803" spans="2:4" ht="16.5" customHeight="1">
      <c r="B803" s="198"/>
      <c r="C803" s="18"/>
      <c r="D803" s="6"/>
    </row>
    <row r="804" spans="2:4" ht="16.5" customHeight="1">
      <c r="B804" s="198"/>
      <c r="C804" s="18"/>
      <c r="D804" s="6"/>
    </row>
    <row r="805" spans="2:4" ht="16.5" customHeight="1">
      <c r="B805" s="198"/>
      <c r="C805" s="18"/>
      <c r="D805" s="6"/>
    </row>
    <row r="806" spans="2:4" ht="16.5" customHeight="1">
      <c r="B806" s="198"/>
      <c r="C806" s="18"/>
      <c r="D806" s="6"/>
    </row>
    <row r="807" spans="2:4" ht="16.5" customHeight="1">
      <c r="B807" s="198"/>
      <c r="C807" s="18"/>
      <c r="D807" s="6"/>
    </row>
    <row r="808" spans="2:4" ht="16.5" customHeight="1">
      <c r="B808" s="198"/>
      <c r="C808" s="18"/>
      <c r="D808" s="6"/>
    </row>
    <row r="809" spans="2:4" ht="16.5" customHeight="1">
      <c r="B809" s="198"/>
      <c r="C809" s="18"/>
      <c r="D809" s="6"/>
    </row>
    <row r="810" spans="2:4" ht="16.5" customHeight="1">
      <c r="B810" s="198"/>
      <c r="C810" s="18"/>
      <c r="D810" s="6"/>
    </row>
    <row r="811" spans="2:4" ht="16.5" customHeight="1">
      <c r="B811" s="198"/>
      <c r="C811" s="18"/>
      <c r="D811" s="6"/>
    </row>
    <row r="812" spans="2:4" ht="16.5" customHeight="1">
      <c r="B812" s="198"/>
      <c r="C812" s="18"/>
      <c r="D812" s="6"/>
    </row>
    <row r="813" spans="2:4" ht="16.5" customHeight="1">
      <c r="B813" s="198"/>
      <c r="C813" s="18"/>
      <c r="D813" s="6"/>
    </row>
    <row r="814" spans="2:4" ht="16.5" customHeight="1">
      <c r="B814" s="198"/>
      <c r="C814" s="18"/>
      <c r="D814" s="6"/>
    </row>
    <row r="815" spans="2:4" ht="16.5" customHeight="1">
      <c r="B815" s="198"/>
      <c r="C815" s="18"/>
      <c r="D815" s="6"/>
    </row>
    <row r="816" spans="2:4" ht="16.5" customHeight="1">
      <c r="B816" s="198"/>
      <c r="C816" s="18"/>
      <c r="D816" s="6"/>
    </row>
    <row r="817" spans="2:4" ht="16.5" customHeight="1">
      <c r="B817" s="198"/>
      <c r="C817" s="18"/>
      <c r="D817" s="6"/>
    </row>
    <row r="818" spans="2:4" ht="16.5" customHeight="1">
      <c r="B818" s="198"/>
      <c r="C818" s="18"/>
      <c r="D818" s="6"/>
    </row>
    <row r="819" spans="2:4" ht="16.5" customHeight="1">
      <c r="B819" s="198"/>
      <c r="C819" s="18"/>
      <c r="D819" s="6"/>
    </row>
    <row r="820" spans="2:4" ht="16.5" customHeight="1">
      <c r="B820" s="198"/>
      <c r="C820" s="18"/>
      <c r="D820" s="6"/>
    </row>
    <row r="821" spans="2:4" ht="16.5" customHeight="1">
      <c r="B821" s="198"/>
      <c r="C821" s="18"/>
      <c r="D821" s="6"/>
    </row>
    <row r="822" spans="2:4" ht="16.5" customHeight="1">
      <c r="B822" s="198"/>
      <c r="C822" s="18"/>
      <c r="D822" s="6"/>
    </row>
    <row r="823" spans="2:4" ht="16.5" customHeight="1">
      <c r="B823" s="198"/>
      <c r="C823" s="18"/>
      <c r="D823" s="6"/>
    </row>
    <row r="824" spans="2:4" ht="16.5" customHeight="1">
      <c r="B824" s="198"/>
      <c r="C824" s="18"/>
      <c r="D824" s="6"/>
    </row>
    <row r="825" spans="2:4" ht="16.5" customHeight="1">
      <c r="B825" s="198"/>
      <c r="C825" s="18"/>
      <c r="D825" s="6"/>
    </row>
    <row r="826" spans="2:4" ht="16.5" customHeight="1">
      <c r="B826" s="198"/>
      <c r="C826" s="18"/>
      <c r="D826" s="6"/>
    </row>
    <row r="827" spans="2:4" ht="16.5" customHeight="1">
      <c r="B827" s="198"/>
      <c r="C827" s="18"/>
      <c r="D827" s="6"/>
    </row>
    <row r="828" spans="2:4" ht="16.5" customHeight="1">
      <c r="B828" s="198"/>
      <c r="C828" s="18"/>
      <c r="D828" s="6"/>
    </row>
    <row r="829" spans="2:4" ht="16.5" customHeight="1">
      <c r="B829" s="198"/>
      <c r="C829" s="18"/>
      <c r="D829" s="6"/>
    </row>
    <row r="830" spans="2:4" ht="16.5" customHeight="1">
      <c r="B830" s="198"/>
      <c r="C830" s="18"/>
      <c r="D830" s="6"/>
    </row>
    <row r="831" spans="2:4" ht="16.5" customHeight="1">
      <c r="B831" s="198"/>
      <c r="C831" s="18"/>
      <c r="D831" s="6"/>
    </row>
    <row r="832" spans="2:4" ht="16.5" customHeight="1">
      <c r="B832" s="198"/>
      <c r="C832" s="18"/>
      <c r="D832" s="6"/>
    </row>
    <row r="833" spans="2:4" ht="16.5" customHeight="1">
      <c r="B833" s="198"/>
      <c r="C833" s="18"/>
      <c r="D833" s="6"/>
    </row>
    <row r="834" spans="2:4" ht="16.5" customHeight="1">
      <c r="B834" s="198"/>
      <c r="C834" s="18"/>
      <c r="D834" s="6"/>
    </row>
    <row r="835" spans="2:4" ht="16.5" customHeight="1">
      <c r="B835" s="198"/>
      <c r="C835" s="18"/>
      <c r="D835" s="6"/>
    </row>
    <row r="836" spans="2:4" ht="16.5" customHeight="1">
      <c r="B836" s="198"/>
      <c r="C836" s="18"/>
      <c r="D836" s="6"/>
    </row>
    <row r="837" spans="2:4" ht="16.5" customHeight="1">
      <c r="B837" s="198"/>
      <c r="C837" s="18"/>
      <c r="D837" s="6"/>
    </row>
    <row r="838" spans="2:4" ht="16.5" customHeight="1">
      <c r="B838" s="198"/>
      <c r="C838" s="18"/>
      <c r="D838" s="6"/>
    </row>
    <row r="839" spans="2:4" ht="16.5" customHeight="1">
      <c r="B839" s="198"/>
      <c r="C839" s="18"/>
      <c r="D839" s="6"/>
    </row>
    <row r="840" spans="2:4" ht="16.5" customHeight="1">
      <c r="B840" s="198"/>
      <c r="C840" s="18"/>
      <c r="D840" s="6"/>
    </row>
    <row r="841" spans="2:4" ht="16.5" customHeight="1">
      <c r="B841" s="198"/>
      <c r="C841" s="18"/>
      <c r="D841" s="6"/>
    </row>
    <row r="842" spans="2:4" ht="16.5" customHeight="1">
      <c r="B842" s="198"/>
      <c r="C842" s="18"/>
      <c r="D842" s="6"/>
    </row>
    <row r="843" spans="2:4" ht="16.5" customHeight="1">
      <c r="B843" s="198"/>
      <c r="C843" s="18"/>
      <c r="D843" s="6"/>
    </row>
  </sheetData>
  <sheetProtection/>
  <mergeCells count="7">
    <mergeCell ref="A3:D3"/>
    <mergeCell ref="A55:D55"/>
    <mergeCell ref="A56:D56"/>
    <mergeCell ref="A1:D1"/>
    <mergeCell ref="A2:D2"/>
    <mergeCell ref="A43:D43"/>
    <mergeCell ref="A44:D4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SheetLayoutView="100" zoomScalePageLayoutView="0" workbookViewId="0" topLeftCell="A97">
      <selection activeCell="C102" sqref="C102"/>
    </sheetView>
  </sheetViews>
  <sheetFormatPr defaultColWidth="9.140625" defaultRowHeight="12.75"/>
  <cols>
    <col min="1" max="1" width="12.421875" style="108" customWidth="1"/>
    <col min="2" max="2" width="7.7109375" style="121" customWidth="1"/>
    <col min="3" max="3" width="7.57421875" style="121" customWidth="1"/>
    <col min="4" max="4" width="7.7109375" style="121" customWidth="1"/>
    <col min="5" max="6" width="7.421875" style="121" customWidth="1"/>
    <col min="7" max="7" width="7.57421875" style="121" customWidth="1"/>
    <col min="8" max="9" width="7.421875" style="121" customWidth="1"/>
    <col min="10" max="10" width="7.28125" style="121" customWidth="1"/>
    <col min="11" max="11" width="7.140625" style="121" customWidth="1"/>
    <col min="12" max="12" width="7.421875" style="121" customWidth="1"/>
    <col min="13" max="13" width="7.140625" style="121" customWidth="1"/>
    <col min="14" max="15" width="7.421875" style="121" customWidth="1"/>
    <col min="16" max="16" width="7.57421875" style="121" customWidth="1"/>
    <col min="17" max="17" width="7.57421875" style="101" customWidth="1"/>
    <col min="18" max="18" width="9.7109375" style="101" customWidth="1"/>
    <col min="19" max="16384" width="9.140625" style="102" customWidth="1"/>
  </cols>
  <sheetData>
    <row r="1" spans="1:18" ht="16.5">
      <c r="A1" s="322" t="s">
        <v>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16.5">
      <c r="A2" s="322" t="s">
        <v>505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 ht="16.5">
      <c r="A3" s="323" t="s">
        <v>534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="165" customFormat="1" ht="14.25">
      <c r="Q4" s="241"/>
    </row>
    <row r="5" spans="1:18" s="104" customFormat="1" ht="14.25">
      <c r="A5" s="105" t="s">
        <v>122</v>
      </c>
      <c r="B5" s="320" t="s">
        <v>99</v>
      </c>
      <c r="C5" s="321" t="s">
        <v>100</v>
      </c>
      <c r="D5" s="321"/>
      <c r="E5" s="321"/>
      <c r="F5" s="127" t="s">
        <v>101</v>
      </c>
      <c r="G5" s="321" t="s">
        <v>102</v>
      </c>
      <c r="H5" s="321"/>
      <c r="I5" s="321" t="s">
        <v>103</v>
      </c>
      <c r="J5" s="321"/>
      <c r="K5" s="127" t="s">
        <v>104</v>
      </c>
      <c r="L5" s="321" t="s">
        <v>105</v>
      </c>
      <c r="M5" s="321"/>
      <c r="N5" s="127" t="s">
        <v>451</v>
      </c>
      <c r="O5" s="324" t="s">
        <v>106</v>
      </c>
      <c r="P5" s="325"/>
      <c r="Q5" s="265" t="s">
        <v>120</v>
      </c>
      <c r="R5" s="318" t="s">
        <v>20</v>
      </c>
    </row>
    <row r="6" spans="1:18" s="104" customFormat="1" ht="14.25">
      <c r="A6" s="106" t="s">
        <v>123</v>
      </c>
      <c r="B6" s="320"/>
      <c r="C6" s="127" t="s">
        <v>107</v>
      </c>
      <c r="D6" s="127" t="s">
        <v>118</v>
      </c>
      <c r="E6" s="127" t="s">
        <v>108</v>
      </c>
      <c r="F6" s="127" t="s">
        <v>109</v>
      </c>
      <c r="G6" s="127" t="s">
        <v>110</v>
      </c>
      <c r="H6" s="127" t="s">
        <v>111</v>
      </c>
      <c r="I6" s="127" t="s">
        <v>112</v>
      </c>
      <c r="J6" s="127" t="s">
        <v>113</v>
      </c>
      <c r="K6" s="127" t="s">
        <v>119</v>
      </c>
      <c r="L6" s="127" t="s">
        <v>114</v>
      </c>
      <c r="M6" s="127" t="s">
        <v>115</v>
      </c>
      <c r="N6" s="127" t="s">
        <v>450</v>
      </c>
      <c r="O6" s="127" t="s">
        <v>116</v>
      </c>
      <c r="P6" s="127" t="s">
        <v>117</v>
      </c>
      <c r="Q6" s="242" t="s">
        <v>121</v>
      </c>
      <c r="R6" s="319"/>
    </row>
    <row r="7" spans="1:18" ht="14.25">
      <c r="A7" s="128" t="s">
        <v>271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14.25">
      <c r="A8" s="129" t="s">
        <v>272</v>
      </c>
      <c r="B8" s="107">
        <f>74870-5089-4759-5122-5209-4759-4143-6374</f>
        <v>39415</v>
      </c>
      <c r="C8" s="107" t="s">
        <v>269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>
        <f>SUM(B8:P8)</f>
        <v>39415</v>
      </c>
    </row>
    <row r="9" spans="1:18" ht="14.25">
      <c r="A9" s="130" t="s">
        <v>273</v>
      </c>
      <c r="B9" s="110">
        <f>24000-2000-2500-2500-2500-2500-2500-2500</f>
        <v>7000</v>
      </c>
      <c r="C9" s="110"/>
      <c r="D9" s="110"/>
      <c r="E9" s="110"/>
      <c r="F9" s="110" t="s">
        <v>269</v>
      </c>
      <c r="G9" s="267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SUM(B9:Q9)</f>
        <v>7000</v>
      </c>
    </row>
    <row r="10" spans="1:18" ht="14.25">
      <c r="A10" s="130" t="s">
        <v>274</v>
      </c>
      <c r="B10" s="110">
        <f>187243-15000-13840-22660</f>
        <v>135743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>
        <f>SUM(B10:P10)</f>
        <v>135743</v>
      </c>
    </row>
    <row r="11" spans="1:18" ht="14.25">
      <c r="A11" s="130" t="s">
        <v>275</v>
      </c>
      <c r="B11" s="110">
        <f>140000-120000</f>
        <v>20000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>
        <f>SUM(B11:P11)</f>
        <v>20000</v>
      </c>
    </row>
    <row r="12" spans="1:18" ht="14.25">
      <c r="A12" s="130" t="s">
        <v>276</v>
      </c>
      <c r="B12" s="126">
        <f>141240-141235</f>
        <v>5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>
        <f>SUM(B12)</f>
        <v>5</v>
      </c>
    </row>
    <row r="13" spans="1:18" ht="15" thickBot="1">
      <c r="A13" s="130" t="s">
        <v>38</v>
      </c>
      <c r="B13" s="112">
        <f>SUM(B8:B12)</f>
        <v>202163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/>
      <c r="R13" s="112">
        <f>SUM(B13:P13)</f>
        <v>202163</v>
      </c>
    </row>
    <row r="14" spans="1:18" ht="15" thickTop="1">
      <c r="A14" s="132" t="s">
        <v>277</v>
      </c>
      <c r="B14" s="114"/>
      <c r="C14" s="12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14"/>
      <c r="R14" s="115"/>
    </row>
    <row r="15" spans="1:18" ht="14.25">
      <c r="A15" s="130" t="s">
        <v>278</v>
      </c>
      <c r="B15" s="116"/>
      <c r="C15" s="110">
        <f>530000-42840-42840-42840-42840-42840-42840-42840</f>
        <v>230120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0"/>
      <c r="Q15" s="116"/>
      <c r="R15" s="110">
        <f aca="true" t="shared" si="0" ref="R15:R21">SUM(C15:P15)</f>
        <v>230120</v>
      </c>
    </row>
    <row r="16" spans="1:18" ht="14.25">
      <c r="A16" s="129" t="s">
        <v>279</v>
      </c>
      <c r="B16" s="117"/>
      <c r="C16" s="117">
        <f>43000-3510-3510-3510-3510-3510-3510-3510</f>
        <v>18430</v>
      </c>
      <c r="D16" s="117"/>
      <c r="E16" s="117"/>
      <c r="F16" s="117"/>
      <c r="G16" s="117">
        <v>0</v>
      </c>
      <c r="H16" s="117"/>
      <c r="I16" s="117"/>
      <c r="J16" s="117"/>
      <c r="K16" s="117"/>
      <c r="L16" s="117">
        <v>0</v>
      </c>
      <c r="M16" s="117"/>
      <c r="N16" s="117"/>
      <c r="O16" s="117"/>
      <c r="P16" s="107"/>
      <c r="Q16" s="117"/>
      <c r="R16" s="107">
        <f t="shared" si="0"/>
        <v>18430</v>
      </c>
    </row>
    <row r="17" spans="1:18" ht="14.25">
      <c r="A17" s="130" t="s">
        <v>280</v>
      </c>
      <c r="B17" s="116"/>
      <c r="C17" s="116">
        <f>43000-3510-3510-3510-3510-3510-3510-3510</f>
        <v>18430</v>
      </c>
      <c r="D17" s="116"/>
      <c r="E17" s="116"/>
      <c r="F17" s="116"/>
      <c r="G17" s="116">
        <v>0</v>
      </c>
      <c r="H17" s="116"/>
      <c r="I17" s="116"/>
      <c r="J17" s="116"/>
      <c r="K17" s="116"/>
      <c r="L17" s="116">
        <v>0</v>
      </c>
      <c r="M17" s="116"/>
      <c r="N17" s="116"/>
      <c r="O17" s="116"/>
      <c r="P17" s="110"/>
      <c r="Q17" s="116"/>
      <c r="R17" s="110">
        <f t="shared" si="0"/>
        <v>18430</v>
      </c>
    </row>
    <row r="18" spans="1:18" ht="14.25">
      <c r="A18" s="130" t="s">
        <v>281</v>
      </c>
      <c r="B18" s="116"/>
      <c r="C18" s="110">
        <f>86400-7200-7200-7200-7200-7200-7200-7200</f>
        <v>36000</v>
      </c>
      <c r="D18" s="116"/>
      <c r="E18" s="116"/>
      <c r="F18" s="116"/>
      <c r="G18" s="116"/>
      <c r="H18" s="116"/>
      <c r="I18" s="116"/>
      <c r="J18" s="116"/>
      <c r="K18" s="116"/>
      <c r="L18" s="116">
        <v>0</v>
      </c>
      <c r="M18" s="116"/>
      <c r="N18" s="116"/>
      <c r="O18" s="116"/>
      <c r="P18" s="110"/>
      <c r="Q18" s="116"/>
      <c r="R18" s="110">
        <f t="shared" si="0"/>
        <v>36000</v>
      </c>
    </row>
    <row r="19" spans="1:18" ht="14.25">
      <c r="A19" s="129" t="s">
        <v>282</v>
      </c>
      <c r="B19" s="117"/>
      <c r="C19" s="117">
        <f>2145600-178800-178800-178800-178800-178800-178800-175440</f>
        <v>897360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07"/>
      <c r="Q19" s="117"/>
      <c r="R19" s="107">
        <f t="shared" si="0"/>
        <v>897360</v>
      </c>
    </row>
    <row r="20" spans="1:18" ht="14.25">
      <c r="A20" s="130" t="s">
        <v>283</v>
      </c>
      <c r="B20" s="116"/>
      <c r="C20" s="110">
        <f>86400-7200-7200-7200-7200-7200-7200-7200</f>
        <v>36000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0"/>
      <c r="Q20" s="116"/>
      <c r="R20" s="110">
        <f t="shared" si="0"/>
        <v>36000</v>
      </c>
    </row>
    <row r="21" spans="1:18" ht="15" thickBot="1">
      <c r="A21" s="130" t="s">
        <v>38</v>
      </c>
      <c r="B21" s="133"/>
      <c r="C21" s="120">
        <f>SUM(C15:C20)</f>
        <v>1236340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/>
      <c r="R21" s="113">
        <f t="shared" si="0"/>
        <v>1236340</v>
      </c>
    </row>
    <row r="22" spans="1:18" ht="15" thickTop="1">
      <c r="A22" s="129" t="s">
        <v>284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23"/>
      <c r="Q22" s="117"/>
      <c r="R22" s="107"/>
    </row>
    <row r="23" spans="1:18" ht="14.25">
      <c r="A23" s="130" t="s">
        <v>285</v>
      </c>
      <c r="B23" s="116"/>
      <c r="C23" s="116">
        <f>1940000-156780-156780-156780-156780-159614-157840-161330</f>
        <v>834096</v>
      </c>
      <c r="D23" s="116"/>
      <c r="E23" s="116">
        <f>1360000-100270-100270-100270-100270-100270-100270-102610</f>
        <v>655770</v>
      </c>
      <c r="F23" s="116"/>
      <c r="G23" s="116">
        <f>250000-20360-20360-20360-20360-20360-20360-20780</f>
        <v>107060</v>
      </c>
      <c r="H23" s="116"/>
      <c r="I23" s="116"/>
      <c r="J23" s="116"/>
      <c r="K23" s="116"/>
      <c r="L23" s="116">
        <f>563000-40470-40470-40470-40470-40470-40470-41320</f>
        <v>278860</v>
      </c>
      <c r="M23" s="116"/>
      <c r="N23" s="116"/>
      <c r="O23" s="116"/>
      <c r="P23" s="110"/>
      <c r="Q23" s="116"/>
      <c r="R23" s="110">
        <f>SUM(C23:P23)</f>
        <v>1875786</v>
      </c>
    </row>
    <row r="24" spans="1:18" ht="14.25">
      <c r="A24" s="130" t="s">
        <v>286</v>
      </c>
      <c r="B24" s="116"/>
      <c r="C24" s="116">
        <f>5000</f>
        <v>5000</v>
      </c>
      <c r="D24" s="116"/>
      <c r="E24" s="116">
        <v>15500</v>
      </c>
      <c r="F24" s="116"/>
      <c r="G24" s="116"/>
      <c r="H24" s="116"/>
      <c r="I24" s="116"/>
      <c r="J24" s="116"/>
      <c r="K24" s="116"/>
      <c r="L24" s="116">
        <v>9000</v>
      </c>
      <c r="M24" s="116"/>
      <c r="N24" s="116"/>
      <c r="O24" s="116"/>
      <c r="P24" s="110"/>
      <c r="Q24" s="116"/>
      <c r="R24" s="110">
        <f>SUM(C24:P24)</f>
        <v>29500</v>
      </c>
    </row>
    <row r="25" spans="1:18" ht="14.25">
      <c r="A25" s="129" t="s">
        <v>287</v>
      </c>
      <c r="B25" s="117"/>
      <c r="C25" s="117">
        <f>176400-14700-14700-14700-14700-14700-14700-14700</f>
        <v>73500</v>
      </c>
      <c r="D25" s="117"/>
      <c r="E25" s="117">
        <f>42000-3500-3500-3500-3500-3500-3500-3500</f>
        <v>17500</v>
      </c>
      <c r="F25" s="117"/>
      <c r="G25" s="117">
        <f>20000</f>
        <v>20000</v>
      </c>
      <c r="H25" s="117"/>
      <c r="I25" s="117"/>
      <c r="J25" s="117"/>
      <c r="K25" s="117"/>
      <c r="L25" s="117">
        <f>42000-3500-3500-3500-3500-3500-3500-3500</f>
        <v>17500</v>
      </c>
      <c r="M25" s="117"/>
      <c r="N25" s="117"/>
      <c r="O25" s="117"/>
      <c r="P25" s="107"/>
      <c r="Q25" s="117"/>
      <c r="R25" s="107">
        <f>SUM(C25:P25)</f>
        <v>128500</v>
      </c>
    </row>
    <row r="26" spans="1:18" ht="15" thickBot="1">
      <c r="A26" s="130" t="s">
        <v>38</v>
      </c>
      <c r="B26" s="133"/>
      <c r="C26" s="120">
        <f>SUM(C23:C25)</f>
        <v>912596</v>
      </c>
      <c r="D26" s="133">
        <v>0</v>
      </c>
      <c r="E26" s="133">
        <f>SUM(E23:E25)</f>
        <v>688770</v>
      </c>
      <c r="F26" s="133">
        <v>0</v>
      </c>
      <c r="G26" s="133">
        <f>SUM(G23:G25)</f>
        <v>127060</v>
      </c>
      <c r="H26" s="133">
        <v>0</v>
      </c>
      <c r="I26" s="133">
        <v>0</v>
      </c>
      <c r="J26" s="133">
        <v>0</v>
      </c>
      <c r="K26" s="133">
        <v>0</v>
      </c>
      <c r="L26" s="133">
        <f>SUM(L23:L25)</f>
        <v>305360</v>
      </c>
      <c r="M26" s="133">
        <v>0</v>
      </c>
      <c r="N26" s="133">
        <v>0</v>
      </c>
      <c r="O26" s="133">
        <v>0</v>
      </c>
      <c r="P26" s="133">
        <v>0</v>
      </c>
      <c r="Q26" s="133"/>
      <c r="R26" s="100">
        <f>SUM(C26:P26)</f>
        <v>2033786</v>
      </c>
    </row>
    <row r="27" spans="1:18" ht="15" thickTop="1">
      <c r="A27" s="129" t="s">
        <v>284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07"/>
      <c r="Q27" s="117"/>
      <c r="R27" s="124"/>
    </row>
    <row r="28" spans="1:18" ht="14.25">
      <c r="A28" s="130" t="s">
        <v>288</v>
      </c>
      <c r="B28" s="116"/>
      <c r="C28" s="116">
        <f>150000-10760-16540-12090-12090-12090-12090-12330</f>
        <v>62010</v>
      </c>
      <c r="D28" s="116"/>
      <c r="E28" s="116">
        <v>0</v>
      </c>
      <c r="F28" s="116"/>
      <c r="G28" s="116">
        <v>0</v>
      </c>
      <c r="H28" s="116"/>
      <c r="I28" s="116">
        <v>0</v>
      </c>
      <c r="J28" s="116"/>
      <c r="K28" s="116"/>
      <c r="L28" s="116">
        <v>0</v>
      </c>
      <c r="M28" s="116"/>
      <c r="N28" s="116"/>
      <c r="O28" s="116"/>
      <c r="P28" s="110"/>
      <c r="Q28" s="116"/>
      <c r="R28" s="110">
        <f>SUM(C28:P28)</f>
        <v>62010</v>
      </c>
    </row>
    <row r="29" spans="1:18" ht="14.25">
      <c r="A29" s="129" t="s">
        <v>289</v>
      </c>
      <c r="B29" s="118"/>
      <c r="C29" s="117">
        <f>18000-1500-195-195-195-195-195</f>
        <v>15525</v>
      </c>
      <c r="D29" s="117"/>
      <c r="E29" s="117">
        <v>0</v>
      </c>
      <c r="F29" s="117"/>
      <c r="G29" s="117">
        <v>0</v>
      </c>
      <c r="H29" s="117"/>
      <c r="I29" s="117">
        <v>0</v>
      </c>
      <c r="J29" s="117"/>
      <c r="K29" s="117"/>
      <c r="L29" s="117">
        <v>0</v>
      </c>
      <c r="M29" s="117"/>
      <c r="N29" s="117"/>
      <c r="O29" s="117"/>
      <c r="P29" s="107"/>
      <c r="Q29" s="117"/>
      <c r="R29" s="107">
        <f>SUM(C29:P29)</f>
        <v>15525</v>
      </c>
    </row>
    <row r="30" spans="1:18" ht="15" thickBot="1">
      <c r="A30" s="130" t="s">
        <v>38</v>
      </c>
      <c r="B30" s="133"/>
      <c r="C30" s="120">
        <f>SUM(C28:C29)</f>
        <v>77535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/>
      <c r="R30" s="113">
        <f>SUM(C30:P30)</f>
        <v>77535</v>
      </c>
    </row>
    <row r="31" ht="15" thickTop="1">
      <c r="C31" s="246"/>
    </row>
    <row r="42" spans="1:18" s="104" customFormat="1" ht="14.25">
      <c r="A42" s="105" t="s">
        <v>122</v>
      </c>
      <c r="B42" s="320" t="s">
        <v>99</v>
      </c>
      <c r="C42" s="321" t="s">
        <v>100</v>
      </c>
      <c r="D42" s="321"/>
      <c r="E42" s="321"/>
      <c r="F42" s="127" t="s">
        <v>101</v>
      </c>
      <c r="G42" s="321" t="s">
        <v>102</v>
      </c>
      <c r="H42" s="321"/>
      <c r="I42" s="321" t="s">
        <v>103</v>
      </c>
      <c r="J42" s="321"/>
      <c r="K42" s="127" t="s">
        <v>104</v>
      </c>
      <c r="L42" s="321" t="s">
        <v>105</v>
      </c>
      <c r="M42" s="321"/>
      <c r="N42" s="127" t="s">
        <v>451</v>
      </c>
      <c r="O42" s="321" t="s">
        <v>106</v>
      </c>
      <c r="P42" s="321"/>
      <c r="Q42" s="265"/>
      <c r="R42" s="318" t="s">
        <v>20</v>
      </c>
    </row>
    <row r="43" spans="1:18" s="104" customFormat="1" ht="14.25">
      <c r="A43" s="106" t="s">
        <v>123</v>
      </c>
      <c r="B43" s="320"/>
      <c r="C43" s="127" t="s">
        <v>107</v>
      </c>
      <c r="D43" s="127" t="s">
        <v>118</v>
      </c>
      <c r="E43" s="127" t="s">
        <v>108</v>
      </c>
      <c r="F43" s="127" t="s">
        <v>109</v>
      </c>
      <c r="G43" s="127" t="s">
        <v>110</v>
      </c>
      <c r="H43" s="127" t="s">
        <v>111</v>
      </c>
      <c r="I43" s="127" t="s">
        <v>112</v>
      </c>
      <c r="J43" s="127" t="s">
        <v>113</v>
      </c>
      <c r="K43" s="127" t="s">
        <v>119</v>
      </c>
      <c r="L43" s="127" t="s">
        <v>114</v>
      </c>
      <c r="M43" s="127" t="s">
        <v>115</v>
      </c>
      <c r="N43" s="127" t="s">
        <v>450</v>
      </c>
      <c r="O43" s="127" t="s">
        <v>116</v>
      </c>
      <c r="P43" s="127" t="s">
        <v>117</v>
      </c>
      <c r="Q43" s="242" t="s">
        <v>121</v>
      </c>
      <c r="R43" s="319"/>
    </row>
    <row r="44" spans="1:18" ht="14.25">
      <c r="A44" s="132" t="s">
        <v>284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8" ht="14.25">
      <c r="A45" s="232" t="s">
        <v>290</v>
      </c>
      <c r="B45" s="110"/>
      <c r="C45" s="110">
        <f>250000-19500-19500-19500-19500-19500-26469+55000-28900</f>
        <v>152131</v>
      </c>
      <c r="D45" s="110"/>
      <c r="E45" s="110">
        <f>250000-20330-20330-20330-20330-20330-20330-20330</f>
        <v>107690</v>
      </c>
      <c r="F45" s="110"/>
      <c r="G45" s="110">
        <f>630000-32200-25600-32850-34600-150000-18000+500-40351</f>
        <v>296899</v>
      </c>
      <c r="H45" s="110">
        <f>70000-7600-5700-5700</f>
        <v>51000</v>
      </c>
      <c r="I45" s="110">
        <f>108000-9000-9000-9000-9000-9000-9000-9000</f>
        <v>45000</v>
      </c>
      <c r="J45" s="110"/>
      <c r="K45" s="110"/>
      <c r="L45" s="110">
        <f>226000-18400-18400-18400-18400-18400-18400-18400</f>
        <v>97200</v>
      </c>
      <c r="M45" s="110"/>
      <c r="N45" s="110"/>
      <c r="O45" s="110"/>
      <c r="P45" s="110"/>
      <c r="Q45" s="110"/>
      <c r="R45" s="110">
        <f>SUM(C45:Q45)</f>
        <v>749920</v>
      </c>
    </row>
    <row r="46" spans="1:18" ht="14.25">
      <c r="A46" s="129" t="s">
        <v>291</v>
      </c>
      <c r="B46" s="107"/>
      <c r="C46" s="107">
        <f>18000-1500-1500-1500-1500-1500-2604+15000-3000</f>
        <v>19896</v>
      </c>
      <c r="D46" s="107"/>
      <c r="E46" s="107">
        <f>29000-955-955-955-955-955-955-955</f>
        <v>22315</v>
      </c>
      <c r="F46" s="107"/>
      <c r="G46" s="107">
        <v>0</v>
      </c>
      <c r="H46" s="107"/>
      <c r="I46" s="107">
        <v>0</v>
      </c>
      <c r="J46" s="107"/>
      <c r="K46" s="107"/>
      <c r="L46" s="107">
        <f>18000-1500-1500-1500-1500-1500-1500-1500</f>
        <v>7500</v>
      </c>
      <c r="M46" s="107"/>
      <c r="N46" s="107"/>
      <c r="O46" s="107"/>
      <c r="P46" s="107"/>
      <c r="Q46" s="107"/>
      <c r="R46" s="107">
        <f>SUM(C46:Q46)</f>
        <v>49711</v>
      </c>
    </row>
    <row r="47" spans="1:18" ht="15" thickBot="1">
      <c r="A47" s="130" t="s">
        <v>38</v>
      </c>
      <c r="B47" s="100"/>
      <c r="C47" s="112">
        <f>SUM(C45:C46)</f>
        <v>172027</v>
      </c>
      <c r="D47" s="100">
        <v>0</v>
      </c>
      <c r="E47" s="100">
        <f>SUM(E44:E46)</f>
        <v>130005</v>
      </c>
      <c r="F47" s="100">
        <v>0</v>
      </c>
      <c r="G47" s="100">
        <f>SUM(G45:G46)</f>
        <v>296899</v>
      </c>
      <c r="H47" s="100">
        <f>SUM(H45)</f>
        <v>51000</v>
      </c>
      <c r="I47" s="100">
        <f>SUM(I45:I46)</f>
        <v>45000</v>
      </c>
      <c r="J47" s="100">
        <v>0</v>
      </c>
      <c r="K47" s="100">
        <v>0</v>
      </c>
      <c r="L47" s="100">
        <f>SUM(L45:L46)</f>
        <v>104700</v>
      </c>
      <c r="M47" s="100">
        <v>0</v>
      </c>
      <c r="N47" s="100">
        <v>0</v>
      </c>
      <c r="O47" s="100">
        <v>0</v>
      </c>
      <c r="P47" s="100">
        <v>0</v>
      </c>
      <c r="Q47" s="100"/>
      <c r="R47" s="251">
        <f>SUM(C47:P47)</f>
        <v>799631</v>
      </c>
    </row>
    <row r="48" spans="1:18" ht="15" thickTop="1">
      <c r="A48" s="132" t="s">
        <v>292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5"/>
      <c r="Q48" s="114"/>
      <c r="R48" s="115"/>
    </row>
    <row r="49" spans="1:18" ht="14.25">
      <c r="A49" s="130" t="s">
        <v>293</v>
      </c>
      <c r="B49" s="116"/>
      <c r="C49" s="116">
        <f>585000-70000</f>
        <v>515000</v>
      </c>
      <c r="D49" s="116"/>
      <c r="E49" s="116">
        <f>402000-45000</f>
        <v>357000</v>
      </c>
      <c r="F49" s="116"/>
      <c r="G49" s="116">
        <f>220000-20000</f>
        <v>200000</v>
      </c>
      <c r="H49" s="116"/>
      <c r="I49" s="116">
        <v>27000</v>
      </c>
      <c r="J49" s="116"/>
      <c r="K49" s="116"/>
      <c r="L49" s="116">
        <f>252000-2800-6300-13300-6650</f>
        <v>222950</v>
      </c>
      <c r="M49" s="116">
        <v>0</v>
      </c>
      <c r="N49" s="116"/>
      <c r="O49" s="116"/>
      <c r="P49" s="110"/>
      <c r="Q49" s="116"/>
      <c r="R49" s="110">
        <f>SUM(C49:P49)</f>
        <v>1321950</v>
      </c>
    </row>
    <row r="50" spans="1:18" ht="14.25">
      <c r="A50" s="129" t="s">
        <v>294</v>
      </c>
      <c r="B50" s="117"/>
      <c r="C50" s="117">
        <v>10000</v>
      </c>
      <c r="D50" s="117"/>
      <c r="E50" s="117">
        <f>20000-8820+15000</f>
        <v>26180</v>
      </c>
      <c r="F50" s="117"/>
      <c r="G50" s="117">
        <v>5000</v>
      </c>
      <c r="H50" s="117"/>
      <c r="I50" s="117">
        <v>3000</v>
      </c>
      <c r="J50" s="117"/>
      <c r="K50" s="117"/>
      <c r="L50" s="117">
        <v>5000</v>
      </c>
      <c r="M50" s="117"/>
      <c r="N50" s="117"/>
      <c r="O50" s="117"/>
      <c r="P50" s="107"/>
      <c r="Q50" s="117"/>
      <c r="R50" s="107">
        <f>SUM(C50:P50)</f>
        <v>49180</v>
      </c>
    </row>
    <row r="51" spans="1:18" ht="14.25">
      <c r="A51" s="130" t="s">
        <v>295</v>
      </c>
      <c r="B51" s="116"/>
      <c r="C51" s="116">
        <f>150000-6500-7500-7500-7500-7500-8000-8000</f>
        <v>97500</v>
      </c>
      <c r="D51" s="116"/>
      <c r="E51" s="116">
        <f>90000-4200-4200-4200-1700-4700-4700-6000</f>
        <v>60300</v>
      </c>
      <c r="F51" s="116"/>
      <c r="G51" s="116">
        <f>36000-2400-3000-3000-3000-3000-3000-3000</f>
        <v>15600</v>
      </c>
      <c r="H51" s="116"/>
      <c r="I51" s="116"/>
      <c r="J51" s="116"/>
      <c r="K51" s="116"/>
      <c r="L51" s="116">
        <f>78000-5400-5400-5400-5400-2400-2400-2400</f>
        <v>49200</v>
      </c>
      <c r="M51" s="116"/>
      <c r="N51" s="116"/>
      <c r="O51" s="116"/>
      <c r="P51" s="110"/>
      <c r="Q51" s="116"/>
      <c r="R51" s="110">
        <f>SUM(C51:P51)</f>
        <v>222600</v>
      </c>
    </row>
    <row r="52" spans="1:18" ht="14.25">
      <c r="A52" s="130" t="s">
        <v>296</v>
      </c>
      <c r="B52" s="116"/>
      <c r="C52" s="116">
        <f>50000-1960-10350</f>
        <v>37690</v>
      </c>
      <c r="D52" s="116"/>
      <c r="E52" s="116">
        <v>20000</v>
      </c>
      <c r="F52" s="116">
        <v>0</v>
      </c>
      <c r="G52" s="116">
        <v>0</v>
      </c>
      <c r="H52" s="116"/>
      <c r="I52" s="116"/>
      <c r="J52" s="116"/>
      <c r="K52" s="116"/>
      <c r="L52" s="116">
        <v>5000</v>
      </c>
      <c r="M52" s="116"/>
      <c r="N52" s="233"/>
      <c r="O52" s="233"/>
      <c r="P52" s="110"/>
      <c r="Q52" s="116"/>
      <c r="R52" s="110">
        <f>SUM(C52:P52)</f>
        <v>62690</v>
      </c>
    </row>
    <row r="53" spans="1:18" ht="14.25">
      <c r="A53" s="166" t="s">
        <v>297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234"/>
      <c r="O53" s="234"/>
      <c r="P53" s="111"/>
      <c r="Q53" s="118"/>
      <c r="R53" s="235"/>
    </row>
    <row r="54" spans="1:18" ht="15" thickBot="1">
      <c r="A54" s="130" t="s">
        <v>38</v>
      </c>
      <c r="B54" s="133"/>
      <c r="C54" s="120">
        <f>SUM(C49:C53)</f>
        <v>660190</v>
      </c>
      <c r="D54" s="133">
        <v>0</v>
      </c>
      <c r="E54" s="133">
        <f>SUM(E49:E52)</f>
        <v>463480</v>
      </c>
      <c r="F54" s="133">
        <v>0</v>
      </c>
      <c r="G54" s="133">
        <f>SUM(G49:G53)</f>
        <v>220600</v>
      </c>
      <c r="H54" s="133">
        <v>0</v>
      </c>
      <c r="I54" s="133">
        <f>SUM(I49:I53)</f>
        <v>30000</v>
      </c>
      <c r="J54" s="133">
        <v>0</v>
      </c>
      <c r="K54" s="133">
        <v>0</v>
      </c>
      <c r="L54" s="133">
        <f>SUM(L49:L53)</f>
        <v>282150</v>
      </c>
      <c r="M54" s="133">
        <f>SUM(M49:M52)</f>
        <v>0</v>
      </c>
      <c r="N54" s="245">
        <v>0</v>
      </c>
      <c r="O54" s="245">
        <v>0</v>
      </c>
      <c r="P54" s="133">
        <v>0</v>
      </c>
      <c r="Q54" s="133"/>
      <c r="R54" s="112">
        <f>SUM(C54:P54)</f>
        <v>1656420</v>
      </c>
    </row>
    <row r="55" spans="1:18" ht="15" thickTop="1">
      <c r="A55" s="134" t="s">
        <v>298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3"/>
      <c r="O55" s="123"/>
      <c r="P55" s="123"/>
      <c r="Q55" s="123"/>
      <c r="R55" s="124"/>
    </row>
    <row r="56" spans="1:18" ht="14.25">
      <c r="A56" s="134" t="s">
        <v>299</v>
      </c>
      <c r="B56" s="122"/>
      <c r="C56" s="122">
        <f>480000-19752-22627.3-14000-113652-14400-52830.05-26370.65</f>
        <v>216368.00000000003</v>
      </c>
      <c r="D56" s="122"/>
      <c r="E56" s="122">
        <f>70000-24600</f>
        <v>45400</v>
      </c>
      <c r="F56" s="122"/>
      <c r="G56" s="122">
        <f>60000-840.5+80000-50143</f>
        <v>89016.5</v>
      </c>
      <c r="H56" s="122"/>
      <c r="I56" s="122">
        <v>20000</v>
      </c>
      <c r="J56" s="122"/>
      <c r="K56" s="122" t="s">
        <v>269</v>
      </c>
      <c r="L56" s="122">
        <v>85000</v>
      </c>
      <c r="M56" s="122">
        <v>300000</v>
      </c>
      <c r="N56" s="122"/>
      <c r="O56" s="122"/>
      <c r="P56" s="123"/>
      <c r="Q56" s="122"/>
      <c r="R56" s="123">
        <f>SUM(C56:P56)</f>
        <v>755784.5</v>
      </c>
    </row>
    <row r="57" spans="1:18" ht="14.25">
      <c r="A57" s="130" t="s">
        <v>300</v>
      </c>
      <c r="B57" s="116"/>
      <c r="C57" s="116">
        <f>70000-1500-19955-750</f>
        <v>47795</v>
      </c>
      <c r="D57" s="116"/>
      <c r="E57" s="116"/>
      <c r="F57" s="116"/>
      <c r="G57" s="116">
        <v>10000</v>
      </c>
      <c r="H57" s="116"/>
      <c r="I57" s="116"/>
      <c r="J57" s="116"/>
      <c r="K57" s="116"/>
      <c r="L57" s="116"/>
      <c r="M57" s="116"/>
      <c r="N57" s="116"/>
      <c r="O57" s="116"/>
      <c r="P57" s="110"/>
      <c r="Q57" s="116"/>
      <c r="R57" s="110">
        <f>SUM(C57:Q57)</f>
        <v>57795</v>
      </c>
    </row>
    <row r="58" spans="1:18" ht="14.25">
      <c r="A58" s="134" t="s">
        <v>301</v>
      </c>
      <c r="B58" s="116"/>
      <c r="C58" s="116">
        <f>585000-1000-7849.25-800-11250-298830-10000-39920+101820+50000-30000+30000-46905</f>
        <v>320265.75</v>
      </c>
      <c r="D58" s="116">
        <f>50000-30000</f>
        <v>20000</v>
      </c>
      <c r="E58" s="116">
        <f>40000-9600</f>
        <v>30400</v>
      </c>
      <c r="F58" s="116">
        <f>240000-19300-18700</f>
        <v>202000</v>
      </c>
      <c r="G58" s="116">
        <f>50000-800-7077</f>
        <v>42123</v>
      </c>
      <c r="H58" s="116">
        <f>553400-33264-33264-45464-31648-40464</f>
        <v>369296</v>
      </c>
      <c r="I58" s="116">
        <v>5000</v>
      </c>
      <c r="J58" s="116">
        <f>470000-70000-278100-21900</f>
        <v>100000</v>
      </c>
      <c r="K58" s="116">
        <v>0</v>
      </c>
      <c r="L58" s="116">
        <v>40000</v>
      </c>
      <c r="M58" s="116"/>
      <c r="N58" s="116">
        <v>120000</v>
      </c>
      <c r="O58" s="116">
        <f>160000-38000-62000</f>
        <v>60000</v>
      </c>
      <c r="P58" s="110">
        <f>270000-1000-151694-50000</f>
        <v>67306</v>
      </c>
      <c r="Q58" s="116"/>
      <c r="R58" s="110">
        <f>SUM(C58:P58)</f>
        <v>1376390.75</v>
      </c>
    </row>
    <row r="59" spans="1:18" ht="14.25">
      <c r="A59" s="134" t="s">
        <v>302</v>
      </c>
      <c r="B59" s="116"/>
      <c r="C59" s="116">
        <f>40000-3900-500-6500-5000</f>
        <v>24100</v>
      </c>
      <c r="D59" s="116"/>
      <c r="E59" s="116">
        <f>30000-2350-5000</f>
        <v>22650</v>
      </c>
      <c r="F59" s="116"/>
      <c r="G59" s="116">
        <f>15000-1200-950-2500</f>
        <v>10350</v>
      </c>
      <c r="H59" s="116"/>
      <c r="I59" s="116">
        <v>10000</v>
      </c>
      <c r="J59" s="116"/>
      <c r="K59" s="116"/>
      <c r="L59" s="116">
        <f>20000-1150-1250</f>
        <v>17600</v>
      </c>
      <c r="M59" s="116"/>
      <c r="N59" s="116"/>
      <c r="O59" s="116"/>
      <c r="P59" s="110"/>
      <c r="Q59" s="116"/>
      <c r="R59" s="110">
        <f>SUM(C59:Q59)</f>
        <v>84700</v>
      </c>
    </row>
    <row r="60" spans="1:18" ht="15" thickBot="1">
      <c r="A60" s="130" t="s">
        <v>38</v>
      </c>
      <c r="B60" s="133"/>
      <c r="C60" s="120">
        <f>SUM(C56:C59)</f>
        <v>608528.75</v>
      </c>
      <c r="D60" s="133">
        <f>SUM(D58:D59)</f>
        <v>20000</v>
      </c>
      <c r="E60" s="133">
        <f>SUM(E56:E59)</f>
        <v>98450</v>
      </c>
      <c r="F60" s="133">
        <f>SUM(F58)</f>
        <v>202000</v>
      </c>
      <c r="G60" s="133">
        <f>SUM(G56:G59)</f>
        <v>151489.5</v>
      </c>
      <c r="H60" s="133">
        <f>SUM(H56:H59)</f>
        <v>369296</v>
      </c>
      <c r="I60" s="133">
        <f>SUM(I56:I59)</f>
        <v>35000</v>
      </c>
      <c r="J60" s="133">
        <f>SUM(J58)</f>
        <v>100000</v>
      </c>
      <c r="K60" s="133">
        <f>SUM(K56:K59)</f>
        <v>0</v>
      </c>
      <c r="L60" s="133">
        <f>SUM(L56:L59)</f>
        <v>142600</v>
      </c>
      <c r="M60" s="133">
        <f>SUM(M56:M59)</f>
        <v>300000</v>
      </c>
      <c r="N60" s="133">
        <f>SUM(N58)</f>
        <v>120000</v>
      </c>
      <c r="O60" s="133">
        <f>SUM(O58)</f>
        <v>60000</v>
      </c>
      <c r="P60" s="133">
        <f>SUM(P56:P59)</f>
        <v>67306</v>
      </c>
      <c r="Q60" s="133"/>
      <c r="R60" s="113">
        <f>SUM(C60:P60)</f>
        <v>2274670.25</v>
      </c>
    </row>
    <row r="61" spans="1:18" ht="15" thickTop="1">
      <c r="A61" s="134" t="s">
        <v>303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3"/>
      <c r="O61" s="123"/>
      <c r="P61" s="123"/>
      <c r="Q61" s="123"/>
      <c r="R61" s="123"/>
    </row>
    <row r="62" spans="1:18" ht="14.25">
      <c r="A62" s="134" t="s">
        <v>304</v>
      </c>
      <c r="B62" s="122"/>
      <c r="C62" s="122"/>
      <c r="D62" s="122"/>
      <c r="E62" s="122">
        <f>100000-26482-3500-35089-5400+30000-19214</f>
        <v>40315</v>
      </c>
      <c r="F62" s="122"/>
      <c r="G62" s="122">
        <f>20000-4760</f>
        <v>15240</v>
      </c>
      <c r="H62" s="122"/>
      <c r="I62" s="122"/>
      <c r="J62" s="122"/>
      <c r="K62" s="122"/>
      <c r="L62" s="122"/>
      <c r="M62" s="122"/>
      <c r="N62" s="122"/>
      <c r="O62" s="122"/>
      <c r="P62" s="123"/>
      <c r="Q62" s="122"/>
      <c r="R62" s="123">
        <f>SUM(C62:P62)</f>
        <v>55555</v>
      </c>
    </row>
    <row r="63" spans="1:18" ht="14.25">
      <c r="A63" s="130" t="s">
        <v>305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>
        <v>0</v>
      </c>
      <c r="M63" s="116">
        <v>35000</v>
      </c>
      <c r="N63" s="116"/>
      <c r="O63" s="116"/>
      <c r="P63" s="110"/>
      <c r="Q63" s="116"/>
      <c r="R63" s="110">
        <f>SUM(C63:Q63)</f>
        <v>35000</v>
      </c>
    </row>
    <row r="64" spans="1:18" ht="14.25">
      <c r="A64" s="134" t="s">
        <v>306</v>
      </c>
      <c r="B64" s="116"/>
      <c r="C64" s="116"/>
      <c r="D64" s="116"/>
      <c r="E64" s="116">
        <f>25000-240-400-220-340-260-300</f>
        <v>23240</v>
      </c>
      <c r="F64" s="116"/>
      <c r="G64" s="116">
        <v>20000</v>
      </c>
      <c r="H64" s="116">
        <v>0</v>
      </c>
      <c r="I64" s="116"/>
      <c r="J64" s="116"/>
      <c r="K64" s="116"/>
      <c r="L64" s="116"/>
      <c r="M64" s="116"/>
      <c r="N64" s="116"/>
      <c r="O64" s="116"/>
      <c r="P64" s="110"/>
      <c r="Q64" s="116"/>
      <c r="R64" s="110">
        <f>SUM(C64:P64)</f>
        <v>43240</v>
      </c>
    </row>
    <row r="65" spans="1:18" ht="14.25">
      <c r="A65" s="134" t="s">
        <v>307</v>
      </c>
      <c r="B65" s="116"/>
      <c r="C65" s="116"/>
      <c r="D65" s="116"/>
      <c r="E65" s="116"/>
      <c r="F65" s="116"/>
      <c r="G65" s="116">
        <v>0</v>
      </c>
      <c r="H65" s="116">
        <f>1081920-74911.2-74656.4-74656.4-278537.52</f>
        <v>579158.48</v>
      </c>
      <c r="I65" s="116"/>
      <c r="J65" s="116"/>
      <c r="K65" s="116"/>
      <c r="L65" s="116"/>
      <c r="M65" s="116"/>
      <c r="N65" s="116"/>
      <c r="O65" s="116"/>
      <c r="P65" s="110"/>
      <c r="Q65" s="116"/>
      <c r="R65" s="110">
        <f aca="true" t="shared" si="1" ref="R65:R71">SUM(B65:Q65)</f>
        <v>579158.48</v>
      </c>
    </row>
    <row r="66" spans="1:18" ht="14.25">
      <c r="A66" s="134" t="s">
        <v>308</v>
      </c>
      <c r="B66" s="116"/>
      <c r="C66" s="116"/>
      <c r="D66" s="116"/>
      <c r="E66" s="116"/>
      <c r="F66" s="116"/>
      <c r="G66" s="116"/>
      <c r="H66" s="116">
        <v>0</v>
      </c>
      <c r="I66" s="116"/>
      <c r="J66" s="116"/>
      <c r="K66" s="116"/>
      <c r="L66" s="116"/>
      <c r="M66" s="116"/>
      <c r="N66" s="116"/>
      <c r="O66" s="116"/>
      <c r="P66" s="110"/>
      <c r="Q66" s="116"/>
      <c r="R66" s="110">
        <f t="shared" si="1"/>
        <v>0</v>
      </c>
    </row>
    <row r="67" spans="1:18" ht="14.25">
      <c r="A67" s="134" t="s">
        <v>309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>
        <f>20000-19840</f>
        <v>160</v>
      </c>
      <c r="M67" s="116"/>
      <c r="N67" s="116"/>
      <c r="O67" s="116"/>
      <c r="P67" s="110"/>
      <c r="Q67" s="116"/>
      <c r="R67" s="110">
        <f t="shared" si="1"/>
        <v>160</v>
      </c>
    </row>
    <row r="68" spans="1:18" ht="14.25">
      <c r="A68" s="134" t="s">
        <v>310</v>
      </c>
      <c r="B68" s="116"/>
      <c r="C68" s="116">
        <f>60000-2650</f>
        <v>57350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0"/>
      <c r="Q68" s="116"/>
      <c r="R68" s="110">
        <f t="shared" si="1"/>
        <v>57350</v>
      </c>
    </row>
    <row r="69" spans="1:18" ht="14.25">
      <c r="A69" s="134" t="s">
        <v>311</v>
      </c>
      <c r="B69" s="116"/>
      <c r="C69" s="116">
        <f>150000-13050-9990-9510-8040-7000-11900</f>
        <v>90510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0"/>
      <c r="Q69" s="116"/>
      <c r="R69" s="110">
        <f t="shared" si="1"/>
        <v>90510</v>
      </c>
    </row>
    <row r="70" spans="1:18" ht="14.25">
      <c r="A70" s="134" t="s">
        <v>342</v>
      </c>
      <c r="B70" s="116"/>
      <c r="C70" s="116"/>
      <c r="D70" s="116"/>
      <c r="E70" s="116"/>
      <c r="F70" s="116"/>
      <c r="G70" s="116"/>
      <c r="H70" s="116">
        <v>0</v>
      </c>
      <c r="I70" s="116">
        <v>20000</v>
      </c>
      <c r="J70" s="116"/>
      <c r="K70" s="116"/>
      <c r="L70" s="116"/>
      <c r="M70" s="116"/>
      <c r="N70" s="116"/>
      <c r="O70" s="116"/>
      <c r="P70" s="110"/>
      <c r="Q70" s="116"/>
      <c r="R70" s="110">
        <f t="shared" si="1"/>
        <v>20000</v>
      </c>
    </row>
    <row r="71" spans="1:18" ht="14.25">
      <c r="A71" s="134" t="s">
        <v>312</v>
      </c>
      <c r="B71" s="116"/>
      <c r="C71" s="116">
        <f>10000</f>
        <v>10000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0"/>
      <c r="Q71" s="116"/>
      <c r="R71" s="110">
        <f t="shared" si="1"/>
        <v>10000</v>
      </c>
    </row>
    <row r="72" spans="1:18" ht="14.25">
      <c r="A72" s="134" t="s">
        <v>343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>
        <v>0</v>
      </c>
      <c r="O72" s="116">
        <v>0</v>
      </c>
      <c r="P72" s="110"/>
      <c r="Q72" s="116"/>
      <c r="R72" s="110">
        <v>0</v>
      </c>
    </row>
    <row r="73" spans="1:18" ht="14.25">
      <c r="A73" s="134" t="s">
        <v>313</v>
      </c>
      <c r="B73" s="116"/>
      <c r="C73" s="116">
        <f>80000-5400-6850-8600</f>
        <v>59150</v>
      </c>
      <c r="D73" s="116"/>
      <c r="E73" s="116">
        <f>100000-38200-15800-7600-20700</f>
        <v>17700</v>
      </c>
      <c r="F73" s="116"/>
      <c r="G73" s="116">
        <v>25000</v>
      </c>
      <c r="H73" s="116"/>
      <c r="I73" s="116"/>
      <c r="J73" s="116"/>
      <c r="K73" s="116"/>
      <c r="L73" s="116">
        <f>30000-900-1500</f>
        <v>27600</v>
      </c>
      <c r="M73" s="116"/>
      <c r="N73" s="116"/>
      <c r="O73" s="116"/>
      <c r="P73" s="110"/>
      <c r="Q73" s="116"/>
      <c r="R73" s="110">
        <f>SUM(B73:Q73)</f>
        <v>129450</v>
      </c>
    </row>
    <row r="74" spans="1:18" ht="14.25">
      <c r="A74" s="134" t="s">
        <v>314</v>
      </c>
      <c r="B74" s="116"/>
      <c r="C74" s="116"/>
      <c r="D74" s="116"/>
      <c r="E74" s="116"/>
      <c r="F74" s="116"/>
      <c r="G74" s="116"/>
      <c r="H74" s="116">
        <v>20000</v>
      </c>
      <c r="I74" s="116"/>
      <c r="J74" s="116"/>
      <c r="K74" s="116"/>
      <c r="L74" s="116"/>
      <c r="M74" s="116"/>
      <c r="N74" s="116"/>
      <c r="O74" s="116"/>
      <c r="P74" s="110"/>
      <c r="Q74" s="116"/>
      <c r="R74" s="110">
        <f>SUM(B74:Q74)</f>
        <v>20000</v>
      </c>
    </row>
    <row r="75" spans="1:18" ht="14.25">
      <c r="A75" s="134" t="s">
        <v>315</v>
      </c>
      <c r="B75" s="116"/>
      <c r="C75" s="116"/>
      <c r="D75" s="116"/>
      <c r="E75" s="116"/>
      <c r="F75" s="116"/>
      <c r="G75" s="116"/>
      <c r="H75" s="116">
        <v>5000</v>
      </c>
      <c r="I75" s="116"/>
      <c r="J75" s="116"/>
      <c r="K75" s="116"/>
      <c r="L75" s="116"/>
      <c r="M75" s="116"/>
      <c r="N75" s="116"/>
      <c r="O75" s="116"/>
      <c r="P75" s="110"/>
      <c r="Q75" s="116"/>
      <c r="R75" s="110">
        <f>SUM(B75:Q75)</f>
        <v>5000</v>
      </c>
    </row>
    <row r="76" spans="1:18" ht="15" thickBot="1">
      <c r="A76" s="130" t="s">
        <v>38</v>
      </c>
      <c r="B76" s="133"/>
      <c r="C76" s="120">
        <f>SUM(C62:C75)</f>
        <v>217010</v>
      </c>
      <c r="D76" s="133">
        <v>0</v>
      </c>
      <c r="E76" s="133">
        <f>SUM(E62:E75)</f>
        <v>81255</v>
      </c>
      <c r="F76" s="133">
        <v>0</v>
      </c>
      <c r="G76" s="133">
        <f>SUM(G62:G75)</f>
        <v>60240</v>
      </c>
      <c r="H76" s="133">
        <f>SUM(H62:H75)</f>
        <v>604158.48</v>
      </c>
      <c r="I76" s="133">
        <f>SUM(I62:I75)</f>
        <v>20000</v>
      </c>
      <c r="J76" s="133">
        <v>0</v>
      </c>
      <c r="K76" s="133">
        <v>0</v>
      </c>
      <c r="L76" s="133">
        <f>SUM(L63:L75)</f>
        <v>27760</v>
      </c>
      <c r="M76" s="133">
        <f>SUM(M63)</f>
        <v>35000</v>
      </c>
      <c r="N76" s="133">
        <f>SUM(N62:N75)</f>
        <v>0</v>
      </c>
      <c r="O76" s="133">
        <f>SUM(O62:O75)</f>
        <v>0</v>
      </c>
      <c r="P76" s="133">
        <v>0</v>
      </c>
      <c r="Q76" s="133"/>
      <c r="R76" s="113">
        <f>SUM(R62:R75)</f>
        <v>1045423.48</v>
      </c>
    </row>
    <row r="77" spans="1:18" ht="15" thickTop="1">
      <c r="A77" s="247"/>
      <c r="B77" s="248"/>
      <c r="C77" s="246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6"/>
    </row>
    <row r="78" spans="1:18" ht="14.25">
      <c r="A78" s="247"/>
      <c r="B78" s="248"/>
      <c r="C78" s="246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6"/>
    </row>
    <row r="79" spans="1:18" ht="14.25">
      <c r="A79" s="247"/>
      <c r="B79" s="248"/>
      <c r="C79" s="246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6"/>
    </row>
    <row r="82" spans="1:18" s="104" customFormat="1" ht="13.5" customHeight="1">
      <c r="A82" s="105" t="s">
        <v>122</v>
      </c>
      <c r="B82" s="320" t="s">
        <v>99</v>
      </c>
      <c r="C82" s="321" t="s">
        <v>100</v>
      </c>
      <c r="D82" s="321"/>
      <c r="E82" s="321"/>
      <c r="F82" s="127" t="s">
        <v>101</v>
      </c>
      <c r="G82" s="321" t="s">
        <v>102</v>
      </c>
      <c r="H82" s="321"/>
      <c r="I82" s="321" t="s">
        <v>542</v>
      </c>
      <c r="J82" s="321"/>
      <c r="K82" s="127" t="s">
        <v>104</v>
      </c>
      <c r="L82" s="321" t="s">
        <v>105</v>
      </c>
      <c r="M82" s="321"/>
      <c r="N82" s="127" t="s">
        <v>451</v>
      </c>
      <c r="O82" s="321" t="s">
        <v>106</v>
      </c>
      <c r="P82" s="321"/>
      <c r="Q82" s="265"/>
      <c r="R82" s="318" t="s">
        <v>20</v>
      </c>
    </row>
    <row r="83" spans="1:18" s="104" customFormat="1" ht="13.5" customHeight="1">
      <c r="A83" s="106" t="s">
        <v>123</v>
      </c>
      <c r="B83" s="320"/>
      <c r="C83" s="127" t="s">
        <v>107</v>
      </c>
      <c r="D83" s="127" t="s">
        <v>118</v>
      </c>
      <c r="E83" s="127" t="s">
        <v>108</v>
      </c>
      <c r="F83" s="127" t="s">
        <v>109</v>
      </c>
      <c r="G83" s="127" t="s">
        <v>110</v>
      </c>
      <c r="H83" s="127" t="s">
        <v>111</v>
      </c>
      <c r="I83" s="127" t="s">
        <v>112</v>
      </c>
      <c r="J83" s="127" t="s">
        <v>113</v>
      </c>
      <c r="K83" s="127" t="s">
        <v>119</v>
      </c>
      <c r="L83" s="127" t="s">
        <v>114</v>
      </c>
      <c r="M83" s="127" t="s">
        <v>115</v>
      </c>
      <c r="N83" s="127" t="s">
        <v>450</v>
      </c>
      <c r="O83" s="127" t="s">
        <v>116</v>
      </c>
      <c r="P83" s="127" t="s">
        <v>117</v>
      </c>
      <c r="Q83" s="242" t="s">
        <v>121</v>
      </c>
      <c r="R83" s="319"/>
    </row>
    <row r="84" spans="1:18" ht="13.5" customHeight="1">
      <c r="A84" s="132" t="s">
        <v>316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</row>
    <row r="85" spans="1:18" ht="13.5" customHeight="1">
      <c r="A85" s="134" t="s">
        <v>317</v>
      </c>
      <c r="B85" s="107"/>
      <c r="C85" s="107">
        <f>150000-9532.29-8719.1-15062.07-6166.84-12052.38</f>
        <v>98467.31999999998</v>
      </c>
      <c r="D85" s="107"/>
      <c r="E85" s="107"/>
      <c r="F85" s="107"/>
      <c r="G85" s="107">
        <f>30000-2366.72-1607.6-2317.44-592.07-1443.74</f>
        <v>21672.43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>
        <f>SUM(C85:P85)</f>
        <v>120139.74999999997</v>
      </c>
    </row>
    <row r="86" spans="1:18" ht="13.5" customHeight="1">
      <c r="A86" s="130" t="s">
        <v>318</v>
      </c>
      <c r="B86" s="110"/>
      <c r="C86" s="110">
        <f>6000-160-190-380-380-300-230</f>
        <v>4360</v>
      </c>
      <c r="D86" s="110"/>
      <c r="E86" s="110"/>
      <c r="F86" s="110"/>
      <c r="G86" s="110">
        <f>5000-40-90-50-40-160-20</f>
        <v>4600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>
        <f>SUM(C86:P86)</f>
        <v>8960</v>
      </c>
    </row>
    <row r="87" spans="1:18" ht="13.5" customHeight="1">
      <c r="A87" s="130" t="s">
        <v>319</v>
      </c>
      <c r="B87" s="110"/>
      <c r="C87" s="110">
        <f>20000-1089.26-2197.78-941.6-1988.06</f>
        <v>13783.300000000003</v>
      </c>
      <c r="D87" s="110"/>
      <c r="E87" s="110"/>
      <c r="F87" s="110"/>
      <c r="G87" s="110">
        <f>10000-438.7-873.12-428-868.84</f>
        <v>7391.339999999998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>
        <f>SUM(C87:P87)</f>
        <v>21174.64</v>
      </c>
    </row>
    <row r="88" spans="1:18" ht="13.5" customHeight="1">
      <c r="A88" s="129" t="s">
        <v>320</v>
      </c>
      <c r="B88" s="110"/>
      <c r="C88" s="110">
        <f>20000-13500</f>
        <v>6500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>
        <f>SUM(C88:Q88)</f>
        <v>6500</v>
      </c>
    </row>
    <row r="89" spans="1:18" ht="13.5" customHeight="1">
      <c r="A89" s="130" t="s">
        <v>321</v>
      </c>
      <c r="B89" s="111"/>
      <c r="C89" s="111">
        <f>90000-5339.3-10678.6-5339.3-10678.6</f>
        <v>57964.19999999999</v>
      </c>
      <c r="D89" s="111"/>
      <c r="E89" s="111"/>
      <c r="F89" s="111"/>
      <c r="G89" s="111">
        <f>25000-1701.3-3402.6-1701.3-3402.6</f>
        <v>14792.200000000003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>
        <f>SUM(C89:P89)</f>
        <v>72756.4</v>
      </c>
    </row>
    <row r="90" spans="1:18" ht="13.5" customHeight="1" thickBot="1">
      <c r="A90" s="130" t="s">
        <v>38</v>
      </c>
      <c r="B90" s="100"/>
      <c r="C90" s="100">
        <f>SUM(C85:C89)</f>
        <v>181074.81999999998</v>
      </c>
      <c r="D90" s="100">
        <v>0</v>
      </c>
      <c r="E90" s="100">
        <v>0</v>
      </c>
      <c r="F90" s="100">
        <v>0</v>
      </c>
      <c r="G90" s="100">
        <f>SUM(G85:G89)</f>
        <v>48455.97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00"/>
      <c r="R90" s="112">
        <f>SUM(C90:P90)</f>
        <v>229530.78999999998</v>
      </c>
    </row>
    <row r="91" spans="1:18" ht="13.5" customHeight="1" thickTop="1">
      <c r="A91" s="132" t="s">
        <v>322</v>
      </c>
      <c r="B91" s="114"/>
      <c r="C91" s="114"/>
      <c r="D91" s="114"/>
      <c r="E91" s="114"/>
      <c r="F91" s="114"/>
      <c r="G91" s="114"/>
      <c r="H91" s="114"/>
      <c r="I91" s="114"/>
      <c r="J91" s="124"/>
      <c r="K91" s="114"/>
      <c r="L91" s="114"/>
      <c r="M91" s="114"/>
      <c r="N91" s="114"/>
      <c r="O91" s="114"/>
      <c r="P91" s="115"/>
      <c r="Q91" s="114"/>
      <c r="R91" s="115"/>
    </row>
    <row r="92" spans="1:18" ht="13.5" customHeight="1">
      <c r="A92" s="130" t="s">
        <v>323</v>
      </c>
      <c r="B92" s="116"/>
      <c r="C92" s="116">
        <v>9900</v>
      </c>
      <c r="D92" s="116"/>
      <c r="E92" s="116"/>
      <c r="F92" s="116"/>
      <c r="G92" s="116">
        <f>20000-20000</f>
        <v>0</v>
      </c>
      <c r="H92" s="116"/>
      <c r="I92" s="116"/>
      <c r="J92" s="122"/>
      <c r="K92" s="116"/>
      <c r="L92" s="116">
        <v>24000</v>
      </c>
      <c r="M92" s="116"/>
      <c r="N92" s="116"/>
      <c r="O92" s="116"/>
      <c r="P92" s="110"/>
      <c r="Q92" s="116"/>
      <c r="R92" s="110">
        <f aca="true" t="shared" si="2" ref="R92:R99">SUM(C92:Q92)</f>
        <v>33900</v>
      </c>
    </row>
    <row r="93" spans="1:18" ht="13.5" customHeight="1">
      <c r="A93" s="130" t="s">
        <v>324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>
        <v>39000</v>
      </c>
      <c r="M93" s="116"/>
      <c r="N93" s="116"/>
      <c r="O93" s="116"/>
      <c r="P93" s="110"/>
      <c r="Q93" s="116"/>
      <c r="R93" s="110">
        <f t="shared" si="2"/>
        <v>39000</v>
      </c>
    </row>
    <row r="94" spans="1:18" ht="13.5" customHeight="1">
      <c r="A94" s="236" t="s">
        <v>325</v>
      </c>
      <c r="B94" s="116"/>
      <c r="C94" s="116"/>
      <c r="D94" s="116"/>
      <c r="E94" s="116"/>
      <c r="F94" s="116"/>
      <c r="G94" s="116">
        <v>0</v>
      </c>
      <c r="H94" s="116"/>
      <c r="I94" s="116"/>
      <c r="J94" s="116"/>
      <c r="K94" s="116"/>
      <c r="L94" s="116"/>
      <c r="M94" s="116"/>
      <c r="N94" s="116"/>
      <c r="O94" s="116"/>
      <c r="P94" s="110"/>
      <c r="Q94" s="116"/>
      <c r="R94" s="237">
        <f t="shared" si="2"/>
        <v>0</v>
      </c>
    </row>
    <row r="95" spans="1:18" ht="13.5" customHeight="1">
      <c r="A95" s="232" t="s">
        <v>326</v>
      </c>
      <c r="B95" s="116"/>
      <c r="C95" s="116"/>
      <c r="D95" s="116"/>
      <c r="E95" s="116"/>
      <c r="F95" s="116"/>
      <c r="G95" s="116"/>
      <c r="H95" s="116">
        <v>10000</v>
      </c>
      <c r="I95" s="116"/>
      <c r="J95" s="116"/>
      <c r="K95" s="116"/>
      <c r="L95" s="116"/>
      <c r="M95" s="116"/>
      <c r="N95" s="116"/>
      <c r="O95" s="116"/>
      <c r="P95" s="110"/>
      <c r="Q95" s="116"/>
      <c r="R95" s="116">
        <f t="shared" si="2"/>
        <v>10000</v>
      </c>
    </row>
    <row r="96" spans="1:18" ht="13.5" customHeight="1">
      <c r="A96" s="236" t="s">
        <v>327</v>
      </c>
      <c r="B96" s="116"/>
      <c r="C96" s="116"/>
      <c r="D96" s="116"/>
      <c r="E96" s="116"/>
      <c r="F96" s="116"/>
      <c r="G96" s="116">
        <v>20000</v>
      </c>
      <c r="H96" s="116"/>
      <c r="I96" s="116"/>
      <c r="J96" s="116"/>
      <c r="K96" s="116"/>
      <c r="L96" s="116"/>
      <c r="M96" s="116"/>
      <c r="N96" s="116"/>
      <c r="O96" s="116"/>
      <c r="P96" s="110"/>
      <c r="Q96" s="116"/>
      <c r="R96" s="237">
        <f t="shared" si="2"/>
        <v>20000</v>
      </c>
    </row>
    <row r="97" spans="1:18" ht="13.5" customHeight="1">
      <c r="A97" s="238" t="s">
        <v>328</v>
      </c>
      <c r="B97" s="122"/>
      <c r="C97" s="122"/>
      <c r="D97" s="122"/>
      <c r="E97" s="122"/>
      <c r="F97" s="122"/>
      <c r="G97" s="122">
        <v>5000</v>
      </c>
      <c r="H97" s="122"/>
      <c r="I97" s="122"/>
      <c r="J97" s="122"/>
      <c r="K97" s="122"/>
      <c r="L97" s="122"/>
      <c r="M97" s="122"/>
      <c r="N97" s="122"/>
      <c r="O97" s="122"/>
      <c r="P97" s="123"/>
      <c r="Q97" s="122"/>
      <c r="R97" s="239">
        <f t="shared" si="2"/>
        <v>5000</v>
      </c>
    </row>
    <row r="98" spans="1:18" ht="13.5" customHeight="1">
      <c r="A98" s="236" t="s">
        <v>329</v>
      </c>
      <c r="B98" s="116"/>
      <c r="C98" s="116"/>
      <c r="D98" s="116"/>
      <c r="E98" s="116"/>
      <c r="F98" s="116"/>
      <c r="G98" s="116">
        <v>0</v>
      </c>
      <c r="H98" s="116"/>
      <c r="I98" s="116"/>
      <c r="J98" s="116"/>
      <c r="K98" s="116"/>
      <c r="L98" s="116"/>
      <c r="M98" s="116"/>
      <c r="N98" s="116"/>
      <c r="O98" s="116"/>
      <c r="P98" s="110"/>
      <c r="Q98" s="116"/>
      <c r="R98" s="237">
        <f t="shared" si="2"/>
        <v>0</v>
      </c>
    </row>
    <row r="99" spans="1:18" ht="13.5" customHeight="1">
      <c r="A99" s="129" t="s">
        <v>330</v>
      </c>
      <c r="B99" s="117"/>
      <c r="C99" s="117">
        <f>40000-13060.45</f>
        <v>26939.55</v>
      </c>
      <c r="D99" s="117"/>
      <c r="E99" s="117"/>
      <c r="F99" s="117"/>
      <c r="G99" s="117">
        <f>50000-35000</f>
        <v>15000</v>
      </c>
      <c r="H99" s="193"/>
      <c r="I99" s="117"/>
      <c r="J99" s="117"/>
      <c r="K99" s="117"/>
      <c r="L99" s="117">
        <f>20000-5350</f>
        <v>14650</v>
      </c>
      <c r="M99" s="117"/>
      <c r="N99" s="117"/>
      <c r="O99" s="117"/>
      <c r="P99" s="107"/>
      <c r="Q99" s="117"/>
      <c r="R99" s="249">
        <f t="shared" si="2"/>
        <v>56589.55</v>
      </c>
    </row>
    <row r="100" spans="1:18" ht="13.5" customHeight="1" thickBot="1">
      <c r="A100" s="130" t="s">
        <v>38</v>
      </c>
      <c r="B100" s="133"/>
      <c r="C100" s="133">
        <f>SUM(C92:C99)</f>
        <v>36839.55</v>
      </c>
      <c r="D100" s="133">
        <v>0</v>
      </c>
      <c r="E100" s="133">
        <v>0</v>
      </c>
      <c r="F100" s="133">
        <v>0</v>
      </c>
      <c r="G100" s="133">
        <f>SUM(G92:G99)</f>
        <v>40000</v>
      </c>
      <c r="H100" s="133">
        <f>SUM(H92:H99)</f>
        <v>10000</v>
      </c>
      <c r="I100" s="133">
        <v>0</v>
      </c>
      <c r="J100" s="133"/>
      <c r="K100" s="133">
        <v>0</v>
      </c>
      <c r="L100" s="133">
        <f>SUM(L92:L99)</f>
        <v>77650</v>
      </c>
      <c r="M100" s="133">
        <v>0</v>
      </c>
      <c r="N100" s="133">
        <v>0</v>
      </c>
      <c r="O100" s="133">
        <v>0</v>
      </c>
      <c r="P100" s="133">
        <v>0</v>
      </c>
      <c r="Q100" s="133"/>
      <c r="R100" s="250">
        <f>SUM(R92:R99)</f>
        <v>164489.55</v>
      </c>
    </row>
    <row r="101" spans="1:18" ht="13.5" customHeight="1" thickTop="1">
      <c r="A101" s="134" t="s">
        <v>331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3"/>
      <c r="O101" s="123"/>
      <c r="P101" s="123"/>
      <c r="Q101" s="123"/>
      <c r="R101" s="123"/>
    </row>
    <row r="102" spans="1:18" ht="13.5" customHeight="1">
      <c r="A102" s="134" t="s">
        <v>332</v>
      </c>
      <c r="B102" s="122"/>
      <c r="C102" s="122"/>
      <c r="D102" s="122"/>
      <c r="E102" s="122"/>
      <c r="F102" s="122"/>
      <c r="G102" s="122"/>
      <c r="H102" s="122">
        <v>0</v>
      </c>
      <c r="I102" s="122"/>
      <c r="J102" s="122"/>
      <c r="K102" s="122"/>
      <c r="L102" s="122"/>
      <c r="M102" s="122"/>
      <c r="N102" s="122"/>
      <c r="O102" s="122"/>
      <c r="P102" s="123"/>
      <c r="Q102" s="122"/>
      <c r="R102" s="123">
        <f>SUM(H102:Q102)</f>
        <v>0</v>
      </c>
    </row>
    <row r="103" spans="1:18" ht="13.5" customHeight="1">
      <c r="A103" s="134" t="s">
        <v>333</v>
      </c>
      <c r="B103" s="122"/>
      <c r="C103" s="122"/>
      <c r="D103" s="122"/>
      <c r="E103" s="110"/>
      <c r="F103" s="122"/>
      <c r="G103" s="122"/>
      <c r="H103" s="122">
        <v>95000</v>
      </c>
      <c r="I103" s="122"/>
      <c r="J103" s="122"/>
      <c r="K103" s="122"/>
      <c r="L103" s="122"/>
      <c r="M103" s="122"/>
      <c r="N103" s="122"/>
      <c r="O103" s="122"/>
      <c r="P103" s="123"/>
      <c r="Q103" s="122"/>
      <c r="R103" s="123">
        <f>SUM(H103:Q103)</f>
        <v>95000</v>
      </c>
    </row>
    <row r="104" spans="1:18" ht="13.5" customHeight="1">
      <c r="A104" s="134" t="s">
        <v>334</v>
      </c>
      <c r="B104" s="122"/>
      <c r="C104" s="122"/>
      <c r="D104" s="122"/>
      <c r="E104" s="107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3"/>
      <c r="Q104" s="122">
        <v>2276977</v>
      </c>
      <c r="R104" s="123">
        <f>SUM(Q104)</f>
        <v>2276977</v>
      </c>
    </row>
    <row r="105" spans="1:18" ht="13.5" customHeight="1">
      <c r="A105" s="130" t="s">
        <v>448</v>
      </c>
      <c r="B105" s="116"/>
      <c r="C105" s="116"/>
      <c r="D105" s="116"/>
      <c r="E105" s="231"/>
      <c r="F105" s="116"/>
      <c r="G105" s="116"/>
      <c r="H105" s="116">
        <v>10000</v>
      </c>
      <c r="I105" s="116"/>
      <c r="J105" s="116"/>
      <c r="K105" s="116"/>
      <c r="L105" s="116"/>
      <c r="M105" s="116"/>
      <c r="N105" s="116"/>
      <c r="O105" s="116"/>
      <c r="P105" s="110"/>
      <c r="Q105" s="116">
        <v>0</v>
      </c>
      <c r="R105" s="110">
        <f>SUM(C105:Q105)</f>
        <v>10000</v>
      </c>
    </row>
    <row r="106" spans="1:18" ht="13.5" customHeight="1" thickBot="1">
      <c r="A106" s="130" t="s">
        <v>38</v>
      </c>
      <c r="B106" s="133"/>
      <c r="C106" s="133">
        <f>SUM(C103:C105)</f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f>SUM(H102:H105)</f>
        <v>105000</v>
      </c>
      <c r="I106" s="133">
        <v>0</v>
      </c>
      <c r="J106" s="133">
        <v>0</v>
      </c>
      <c r="K106" s="133">
        <v>0</v>
      </c>
      <c r="L106" s="133">
        <v>0</v>
      </c>
      <c r="M106" s="133">
        <v>0</v>
      </c>
      <c r="N106" s="133">
        <v>0</v>
      </c>
      <c r="O106" s="133">
        <v>0</v>
      </c>
      <c r="P106" s="133">
        <v>0</v>
      </c>
      <c r="Q106" s="133">
        <f>SUM(Q102:Q105)</f>
        <v>2276977</v>
      </c>
      <c r="R106" s="250">
        <f>SUM(R102:R105)</f>
        <v>2381977</v>
      </c>
    </row>
    <row r="107" spans="1:18" ht="13.5" customHeight="1" thickTop="1">
      <c r="A107" s="134" t="s">
        <v>335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3"/>
      <c r="N107" s="122"/>
      <c r="O107" s="122"/>
      <c r="P107" s="123"/>
      <c r="Q107" s="122"/>
      <c r="R107" s="123"/>
    </row>
    <row r="108" spans="1:18" ht="13.5" customHeight="1">
      <c r="A108" s="134" t="s">
        <v>336</v>
      </c>
      <c r="B108" s="110"/>
      <c r="C108" s="116">
        <f>11000-11000</f>
        <v>0</v>
      </c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0"/>
      <c r="Q108" s="116"/>
      <c r="R108" s="110">
        <f>SUM(C108:Q108)</f>
        <v>0</v>
      </c>
    </row>
    <row r="109" spans="1:18" ht="13.5" customHeight="1">
      <c r="A109" s="134" t="s">
        <v>337</v>
      </c>
      <c r="B109" s="117"/>
      <c r="C109" s="116">
        <f>50000-50000</f>
        <v>0</v>
      </c>
      <c r="D109" s="116"/>
      <c r="E109" s="116"/>
      <c r="F109" s="116"/>
      <c r="G109" s="116"/>
      <c r="H109" s="116">
        <f>2031000-400800-200800-411640</f>
        <v>1017760</v>
      </c>
      <c r="I109" s="116"/>
      <c r="J109" s="116"/>
      <c r="K109" s="116"/>
      <c r="L109" s="116"/>
      <c r="M109" s="116"/>
      <c r="N109" s="116"/>
      <c r="O109" s="116"/>
      <c r="P109" s="116">
        <v>0</v>
      </c>
      <c r="Q109" s="110"/>
      <c r="R109" s="110">
        <f>SUM(C109:P109)</f>
        <v>1017760</v>
      </c>
    </row>
    <row r="110" spans="1:18" ht="13.5" customHeight="1">
      <c r="A110" s="134" t="s">
        <v>449</v>
      </c>
      <c r="B110" s="117"/>
      <c r="C110" s="116"/>
      <c r="D110" s="116"/>
      <c r="E110" s="116"/>
      <c r="F110" s="116"/>
      <c r="G110" s="116"/>
      <c r="H110" s="116"/>
      <c r="I110" s="116">
        <v>180000</v>
      </c>
      <c r="J110" s="116"/>
      <c r="K110" s="116"/>
      <c r="L110" s="116"/>
      <c r="M110" s="116"/>
      <c r="N110" s="116"/>
      <c r="O110" s="116"/>
      <c r="P110" s="116"/>
      <c r="Q110" s="110"/>
      <c r="R110" s="110">
        <f>SUM(I110)</f>
        <v>180000</v>
      </c>
    </row>
    <row r="111" spans="1:18" ht="13.5" customHeight="1">
      <c r="A111" s="130" t="s">
        <v>338</v>
      </c>
      <c r="B111" s="116"/>
      <c r="C111" s="116">
        <v>20000</v>
      </c>
      <c r="D111" s="116"/>
      <c r="E111" s="116"/>
      <c r="F111" s="116"/>
      <c r="G111" s="116"/>
      <c r="H111" s="116"/>
      <c r="I111" s="116">
        <v>0</v>
      </c>
      <c r="J111" s="116"/>
      <c r="K111" s="116"/>
      <c r="L111" s="116"/>
      <c r="M111" s="116"/>
      <c r="N111" s="116"/>
      <c r="O111" s="116"/>
      <c r="P111" s="116"/>
      <c r="Q111" s="110"/>
      <c r="R111" s="110">
        <f>SUM(C111:P111)</f>
        <v>20000</v>
      </c>
    </row>
    <row r="112" spans="1:18" ht="13.5" customHeight="1" thickBot="1">
      <c r="A112" s="130" t="s">
        <v>38</v>
      </c>
      <c r="B112" s="133"/>
      <c r="C112" s="133">
        <f>SUM(C108:C111)</f>
        <v>20000</v>
      </c>
      <c r="D112" s="133">
        <v>0</v>
      </c>
      <c r="E112" s="133">
        <v>0</v>
      </c>
      <c r="F112" s="133">
        <v>0</v>
      </c>
      <c r="G112" s="133">
        <v>0</v>
      </c>
      <c r="H112" s="133">
        <f>SUM(H109)</f>
        <v>1017760</v>
      </c>
      <c r="I112" s="133">
        <f>SUM(I110:I111)</f>
        <v>180000</v>
      </c>
      <c r="J112" s="133">
        <v>0</v>
      </c>
      <c r="K112" s="133">
        <v>0</v>
      </c>
      <c r="L112" s="133">
        <v>0</v>
      </c>
      <c r="M112" s="133">
        <f>SUM(M107:M111)</f>
        <v>0</v>
      </c>
      <c r="N112" s="133">
        <f>SUM(N109:N111)</f>
        <v>0</v>
      </c>
      <c r="O112" s="133">
        <f>SUM(O109:O111)</f>
        <v>0</v>
      </c>
      <c r="P112" s="133">
        <f>SUM(P109:P111)</f>
        <v>0</v>
      </c>
      <c r="Q112" s="133"/>
      <c r="R112" s="250">
        <f>SUM(C112:P112)</f>
        <v>1217760</v>
      </c>
    </row>
    <row r="113" spans="1:18" ht="13.5" customHeight="1" thickTop="1">
      <c r="A113" s="134" t="s">
        <v>339</v>
      </c>
      <c r="B113" s="117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3"/>
      <c r="Q113" s="122"/>
      <c r="R113" s="123"/>
    </row>
    <row r="114" spans="1:18" ht="13.5" customHeight="1">
      <c r="A114" s="134" t="s">
        <v>340</v>
      </c>
      <c r="B114" s="118"/>
      <c r="C114" s="117"/>
      <c r="D114" s="117">
        <v>0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07"/>
      <c r="Q114" s="117"/>
      <c r="R114" s="107">
        <f>SUM(B114:P114)</f>
        <v>0</v>
      </c>
    </row>
    <row r="115" spans="1:18" ht="13.5" customHeight="1" thickBot="1">
      <c r="A115" s="130" t="s">
        <v>38</v>
      </c>
      <c r="B115" s="133">
        <v>0</v>
      </c>
      <c r="C115" s="133">
        <v>0</v>
      </c>
      <c r="D115" s="250">
        <f>SUM(D114)</f>
        <v>0</v>
      </c>
      <c r="E115" s="133">
        <v>0</v>
      </c>
      <c r="F115" s="133">
        <v>0</v>
      </c>
      <c r="G115" s="133">
        <v>0</v>
      </c>
      <c r="H115" s="133">
        <v>0</v>
      </c>
      <c r="I115" s="133">
        <v>0</v>
      </c>
      <c r="J115" s="133">
        <v>0</v>
      </c>
      <c r="K115" s="133">
        <v>0</v>
      </c>
      <c r="L115" s="133">
        <v>0</v>
      </c>
      <c r="M115" s="133">
        <v>0</v>
      </c>
      <c r="N115" s="133">
        <v>0</v>
      </c>
      <c r="O115" s="133">
        <v>0</v>
      </c>
      <c r="P115" s="133">
        <v>0</v>
      </c>
      <c r="Q115" s="133"/>
      <c r="R115" s="250">
        <f>SUM(B115:P115)</f>
        <v>0</v>
      </c>
    </row>
    <row r="116" spans="1:18" ht="13.5" customHeight="1" thickBot="1" thickTop="1">
      <c r="A116" s="131" t="s">
        <v>39</v>
      </c>
      <c r="B116" s="243">
        <f>SUM(B13)</f>
        <v>202163</v>
      </c>
      <c r="C116" s="244">
        <f>SUM(C13+C21+C26+C30+C47+C54+C60+C76+C90+C100+C112)</f>
        <v>4122141.1199999996</v>
      </c>
      <c r="D116" s="244">
        <f>SUM(D13+D21+D26+D30+D47+D54+D60+D76+D90+D100+D106+D112+D115)</f>
        <v>20000</v>
      </c>
      <c r="E116" s="244">
        <f aca="true" t="shared" si="3" ref="E116:Q116">SUM(E13+E21+E26+E30+E47+E54+E60+E76+E90+E100+E106+E112)</f>
        <v>1461960</v>
      </c>
      <c r="F116" s="244">
        <f t="shared" si="3"/>
        <v>202000</v>
      </c>
      <c r="G116" s="244">
        <f t="shared" si="3"/>
        <v>944744.47</v>
      </c>
      <c r="H116" s="244">
        <f t="shared" si="3"/>
        <v>2157214.48</v>
      </c>
      <c r="I116" s="244">
        <f t="shared" si="3"/>
        <v>310000</v>
      </c>
      <c r="J116" s="244">
        <f t="shared" si="3"/>
        <v>100000</v>
      </c>
      <c r="K116" s="244">
        <f t="shared" si="3"/>
        <v>0</v>
      </c>
      <c r="L116" s="244">
        <f t="shared" si="3"/>
        <v>940220</v>
      </c>
      <c r="M116" s="244">
        <f t="shared" si="3"/>
        <v>335000</v>
      </c>
      <c r="N116" s="244">
        <f>SUM(N13+N21+N26+N30+N47+N54+N60+N76+N90+N100+N106+N112)</f>
        <v>120000</v>
      </c>
      <c r="O116" s="244">
        <f t="shared" si="3"/>
        <v>60000</v>
      </c>
      <c r="P116" s="244">
        <f t="shared" si="3"/>
        <v>67306</v>
      </c>
      <c r="Q116" s="244">
        <f t="shared" si="3"/>
        <v>2276977</v>
      </c>
      <c r="R116" s="243">
        <f>SUM(B116:Q116)</f>
        <v>13319726.069999998</v>
      </c>
    </row>
    <row r="117" ht="15" thickTop="1"/>
  </sheetData>
  <sheetProtection/>
  <mergeCells count="24">
    <mergeCell ref="I5:J5"/>
    <mergeCell ref="L5:M5"/>
    <mergeCell ref="O5:P5"/>
    <mergeCell ref="R5:R6"/>
    <mergeCell ref="G42:H42"/>
    <mergeCell ref="I42:J42"/>
    <mergeCell ref="L42:M42"/>
    <mergeCell ref="O42:P42"/>
    <mergeCell ref="A1:R1"/>
    <mergeCell ref="A2:R2"/>
    <mergeCell ref="A3:R3"/>
    <mergeCell ref="B5:B6"/>
    <mergeCell ref="C5:E5"/>
    <mergeCell ref="G5:H5"/>
    <mergeCell ref="R42:R43"/>
    <mergeCell ref="R82:R83"/>
    <mergeCell ref="B82:B83"/>
    <mergeCell ref="C82:E82"/>
    <mergeCell ref="G82:H82"/>
    <mergeCell ref="I82:J82"/>
    <mergeCell ref="L82:M82"/>
    <mergeCell ref="O82:P82"/>
    <mergeCell ref="B42:B43"/>
    <mergeCell ref="C42:E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F105" sqref="F105"/>
    </sheetView>
  </sheetViews>
  <sheetFormatPr defaultColWidth="9.140625" defaultRowHeight="12.75"/>
  <cols>
    <col min="1" max="1" width="12.421875" style="108" customWidth="1"/>
    <col min="2" max="2" width="7.7109375" style="121" customWidth="1"/>
    <col min="3" max="3" width="7.57421875" style="121" customWidth="1"/>
    <col min="4" max="4" width="7.7109375" style="121" customWidth="1"/>
    <col min="5" max="6" width="7.421875" style="121" customWidth="1"/>
    <col min="7" max="7" width="7.57421875" style="121" customWidth="1"/>
    <col min="8" max="9" width="7.421875" style="121" customWidth="1"/>
    <col min="10" max="10" width="7.28125" style="121" customWidth="1"/>
    <col min="11" max="11" width="7.140625" style="121" customWidth="1"/>
    <col min="12" max="12" width="7.421875" style="121" customWidth="1"/>
    <col min="13" max="13" width="7.140625" style="121" customWidth="1"/>
    <col min="14" max="14" width="7.421875" style="121" customWidth="1"/>
    <col min="15" max="15" width="7.57421875" style="121" customWidth="1"/>
    <col min="16" max="16" width="7.421875" style="101" customWidth="1"/>
    <col min="17" max="17" width="7.57421875" style="101" customWidth="1"/>
    <col min="18" max="18" width="9.7109375" style="101" customWidth="1"/>
    <col min="19" max="16384" width="9.140625" style="102" customWidth="1"/>
  </cols>
  <sheetData>
    <row r="1" spans="1:18" ht="16.5">
      <c r="A1" s="322" t="s">
        <v>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16.5">
      <c r="A2" s="322" t="s">
        <v>497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 ht="16.5">
      <c r="A3" s="322" t="s">
        <v>498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</row>
    <row r="4" spans="1:18" ht="16.5">
      <c r="A4" s="323" t="s">
        <v>534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</row>
    <row r="5" s="165" customFormat="1" ht="14.25">
      <c r="Q5" s="241"/>
    </row>
    <row r="6" spans="1:18" s="104" customFormat="1" ht="14.25">
      <c r="A6" s="105" t="s">
        <v>122</v>
      </c>
      <c r="B6" s="320" t="s">
        <v>99</v>
      </c>
      <c r="C6" s="321" t="s">
        <v>100</v>
      </c>
      <c r="D6" s="321"/>
      <c r="E6" s="321"/>
      <c r="F6" s="127" t="s">
        <v>101</v>
      </c>
      <c r="G6" s="321" t="s">
        <v>102</v>
      </c>
      <c r="H6" s="321"/>
      <c r="I6" s="321" t="s">
        <v>103</v>
      </c>
      <c r="J6" s="321"/>
      <c r="K6" s="127" t="s">
        <v>104</v>
      </c>
      <c r="L6" s="321" t="s">
        <v>105</v>
      </c>
      <c r="M6" s="321"/>
      <c r="N6" s="321" t="s">
        <v>106</v>
      </c>
      <c r="O6" s="321"/>
      <c r="P6" s="324" t="s">
        <v>120</v>
      </c>
      <c r="Q6" s="325"/>
      <c r="R6" s="318" t="s">
        <v>20</v>
      </c>
    </row>
    <row r="7" spans="1:18" s="104" customFormat="1" ht="14.25">
      <c r="A7" s="106" t="s">
        <v>123</v>
      </c>
      <c r="B7" s="320"/>
      <c r="C7" s="127" t="s">
        <v>107</v>
      </c>
      <c r="D7" s="127" t="s">
        <v>118</v>
      </c>
      <c r="E7" s="127" t="s">
        <v>108</v>
      </c>
      <c r="F7" s="127" t="s">
        <v>109</v>
      </c>
      <c r="G7" s="127" t="s">
        <v>110</v>
      </c>
      <c r="H7" s="127" t="s">
        <v>111</v>
      </c>
      <c r="I7" s="127" t="s">
        <v>112</v>
      </c>
      <c r="J7" s="127" t="s">
        <v>113</v>
      </c>
      <c r="K7" s="127" t="s">
        <v>119</v>
      </c>
      <c r="L7" s="127" t="s">
        <v>114</v>
      </c>
      <c r="M7" s="127" t="s">
        <v>115</v>
      </c>
      <c r="N7" s="127" t="s">
        <v>116</v>
      </c>
      <c r="O7" s="127" t="s">
        <v>117</v>
      </c>
      <c r="P7" s="127" t="s">
        <v>341</v>
      </c>
      <c r="Q7" s="242" t="s">
        <v>121</v>
      </c>
      <c r="R7" s="319"/>
    </row>
    <row r="8" spans="1:18" ht="14.25">
      <c r="A8" s="128" t="s">
        <v>271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ht="14.25">
      <c r="A9" s="129" t="s">
        <v>272</v>
      </c>
      <c r="B9" s="107">
        <v>0</v>
      </c>
      <c r="C9" s="107"/>
      <c r="D9" s="107"/>
      <c r="E9" s="107" t="s">
        <v>269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>
        <f>SUM(B9:P9)</f>
        <v>0</v>
      </c>
    </row>
    <row r="10" spans="1:18" ht="14.25">
      <c r="A10" s="130" t="s">
        <v>273</v>
      </c>
      <c r="B10" s="110">
        <v>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>
        <f>SUM(B10:Q10)</f>
        <v>0</v>
      </c>
    </row>
    <row r="11" spans="1:18" ht="14.25">
      <c r="A11" s="130" t="s">
        <v>274</v>
      </c>
      <c r="B11" s="110">
        <v>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>
        <f>SUM(B11:P11)</f>
        <v>0</v>
      </c>
    </row>
    <row r="12" spans="1:18" ht="14.25">
      <c r="A12" s="130" t="s">
        <v>275</v>
      </c>
      <c r="B12" s="110">
        <v>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>
        <f>SUM(B12:P12)</f>
        <v>0</v>
      </c>
    </row>
    <row r="13" spans="1:18" ht="14.25">
      <c r="A13" s="130" t="s">
        <v>276</v>
      </c>
      <c r="B13" s="126">
        <v>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>
        <f>SUM(B13:Q13)</f>
        <v>0</v>
      </c>
    </row>
    <row r="14" spans="1:18" ht="14.25">
      <c r="A14" s="130" t="s">
        <v>38</v>
      </c>
      <c r="B14" s="112">
        <f>SUM(B9:B13)</f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/>
      <c r="R14" s="112">
        <f>SUM(B14:Q14)</f>
        <v>0</v>
      </c>
    </row>
    <row r="15" spans="1:18" ht="15" thickBot="1">
      <c r="A15" s="131" t="s">
        <v>39</v>
      </c>
      <c r="B15" s="113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240"/>
      <c r="R15" s="113">
        <f>SUM(B15:P15)</f>
        <v>0</v>
      </c>
    </row>
    <row r="16" spans="1:18" ht="15" thickTop="1">
      <c r="A16" s="132" t="s">
        <v>277</v>
      </c>
      <c r="B16" s="114"/>
      <c r="C16" s="12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  <c r="P16" s="114"/>
      <c r="Q16" s="114"/>
      <c r="R16" s="115"/>
    </row>
    <row r="17" spans="1:18" ht="14.25">
      <c r="A17" s="130" t="s">
        <v>278</v>
      </c>
      <c r="B17" s="116"/>
      <c r="C17" s="110">
        <v>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0"/>
      <c r="P17" s="116"/>
      <c r="Q17" s="116"/>
      <c r="R17" s="110">
        <f aca="true" t="shared" si="0" ref="R17:R24">SUM(C17:P17)</f>
        <v>0</v>
      </c>
    </row>
    <row r="18" spans="1:18" ht="14.25">
      <c r="A18" s="129" t="s">
        <v>279</v>
      </c>
      <c r="B18" s="117"/>
      <c r="C18" s="117">
        <v>0</v>
      </c>
      <c r="D18" s="117"/>
      <c r="E18" s="117">
        <v>0</v>
      </c>
      <c r="F18" s="117"/>
      <c r="G18" s="117">
        <v>0</v>
      </c>
      <c r="H18" s="117"/>
      <c r="I18" s="117"/>
      <c r="J18" s="117"/>
      <c r="K18" s="117"/>
      <c r="L18" s="117">
        <v>0</v>
      </c>
      <c r="M18" s="117"/>
      <c r="N18" s="117"/>
      <c r="O18" s="107"/>
      <c r="P18" s="117"/>
      <c r="Q18" s="117"/>
      <c r="R18" s="107">
        <f t="shared" si="0"/>
        <v>0</v>
      </c>
    </row>
    <row r="19" spans="1:18" ht="14.25">
      <c r="A19" s="130" t="s">
        <v>280</v>
      </c>
      <c r="B19" s="116"/>
      <c r="C19" s="116">
        <v>0</v>
      </c>
      <c r="D19" s="116"/>
      <c r="E19" s="116">
        <v>0</v>
      </c>
      <c r="F19" s="116"/>
      <c r="G19" s="116">
        <v>0</v>
      </c>
      <c r="H19" s="116"/>
      <c r="I19" s="116"/>
      <c r="J19" s="116"/>
      <c r="K19" s="116"/>
      <c r="L19" s="116">
        <v>0</v>
      </c>
      <c r="M19" s="116"/>
      <c r="N19" s="116"/>
      <c r="O19" s="110"/>
      <c r="P19" s="116"/>
      <c r="Q19" s="116"/>
      <c r="R19" s="110">
        <f t="shared" si="0"/>
        <v>0</v>
      </c>
    </row>
    <row r="20" spans="1:18" ht="14.25">
      <c r="A20" s="130" t="s">
        <v>281</v>
      </c>
      <c r="B20" s="116"/>
      <c r="C20" s="110">
        <v>0</v>
      </c>
      <c r="D20" s="116"/>
      <c r="E20" s="116">
        <v>0</v>
      </c>
      <c r="F20" s="116"/>
      <c r="G20" s="116"/>
      <c r="H20" s="116"/>
      <c r="I20" s="116"/>
      <c r="J20" s="116"/>
      <c r="K20" s="116"/>
      <c r="L20" s="116">
        <v>0</v>
      </c>
      <c r="M20" s="116"/>
      <c r="N20" s="116"/>
      <c r="O20" s="110"/>
      <c r="P20" s="116"/>
      <c r="Q20" s="116"/>
      <c r="R20" s="110">
        <f t="shared" si="0"/>
        <v>0</v>
      </c>
    </row>
    <row r="21" spans="1:18" ht="14.25">
      <c r="A21" s="129" t="s">
        <v>282</v>
      </c>
      <c r="B21" s="117"/>
      <c r="C21" s="117">
        <v>0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07"/>
      <c r="P21" s="117"/>
      <c r="Q21" s="117"/>
      <c r="R21" s="107">
        <f t="shared" si="0"/>
        <v>0</v>
      </c>
    </row>
    <row r="22" spans="1:18" ht="14.25">
      <c r="A22" s="130" t="s">
        <v>283</v>
      </c>
      <c r="B22" s="116"/>
      <c r="C22" s="110">
        <v>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0"/>
      <c r="P22" s="116"/>
      <c r="Q22" s="116"/>
      <c r="R22" s="110">
        <f t="shared" si="0"/>
        <v>0</v>
      </c>
    </row>
    <row r="23" spans="1:18" ht="14.25">
      <c r="A23" s="130" t="s">
        <v>38</v>
      </c>
      <c r="B23" s="100"/>
      <c r="C23" s="119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/>
      <c r="R23" s="112">
        <f t="shared" si="0"/>
        <v>0</v>
      </c>
    </row>
    <row r="24" spans="1:18" ht="15" thickBot="1">
      <c r="A24" s="131" t="s">
        <v>39</v>
      </c>
      <c r="B24" s="133"/>
      <c r="C24" s="120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/>
      <c r="R24" s="113">
        <f t="shared" si="0"/>
        <v>0</v>
      </c>
    </row>
    <row r="25" spans="1:18" ht="15" thickTop="1">
      <c r="A25" s="129" t="s">
        <v>284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23"/>
      <c r="P25" s="117"/>
      <c r="Q25" s="117"/>
      <c r="R25" s="107"/>
    </row>
    <row r="26" spans="1:18" ht="14.25">
      <c r="A26" s="130" t="s">
        <v>285</v>
      </c>
      <c r="B26" s="116"/>
      <c r="C26" s="116">
        <v>0</v>
      </c>
      <c r="D26" s="116"/>
      <c r="E26" s="116">
        <v>0</v>
      </c>
      <c r="F26" s="116"/>
      <c r="G26" s="116">
        <v>0</v>
      </c>
      <c r="H26" s="116"/>
      <c r="I26" s="116"/>
      <c r="J26" s="116"/>
      <c r="K26" s="116"/>
      <c r="L26" s="116">
        <v>0</v>
      </c>
      <c r="M26" s="116"/>
      <c r="N26" s="116"/>
      <c r="O26" s="110"/>
      <c r="P26" s="116"/>
      <c r="Q26" s="116"/>
      <c r="R26" s="110">
        <f>SUM(C26:P26)</f>
        <v>0</v>
      </c>
    </row>
    <row r="27" spans="1:18" ht="14.25">
      <c r="A27" s="130" t="s">
        <v>286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0"/>
      <c r="P27" s="116"/>
      <c r="Q27" s="116"/>
      <c r="R27" s="110">
        <f>SUM(C27:P27)</f>
        <v>0</v>
      </c>
    </row>
    <row r="28" spans="1:18" ht="14.25">
      <c r="A28" s="129" t="s">
        <v>287</v>
      </c>
      <c r="B28" s="117"/>
      <c r="C28" s="117">
        <v>0</v>
      </c>
      <c r="D28" s="117"/>
      <c r="E28" s="117">
        <v>0</v>
      </c>
      <c r="F28" s="117"/>
      <c r="G28" s="117">
        <v>20000</v>
      </c>
      <c r="H28" s="117" t="s">
        <v>269</v>
      </c>
      <c r="I28" s="117"/>
      <c r="J28" s="117"/>
      <c r="K28" s="117"/>
      <c r="L28" s="117">
        <v>0</v>
      </c>
      <c r="M28" s="117"/>
      <c r="N28" s="117"/>
      <c r="O28" s="107"/>
      <c r="P28" s="117"/>
      <c r="Q28" s="117"/>
      <c r="R28" s="107"/>
    </row>
    <row r="29" spans="1:18" ht="14.25">
      <c r="A29" s="130" t="s">
        <v>38</v>
      </c>
      <c r="B29" s="100"/>
      <c r="C29" s="119">
        <v>0</v>
      </c>
      <c r="D29" s="100">
        <v>0</v>
      </c>
      <c r="E29" s="100">
        <v>0</v>
      </c>
      <c r="F29" s="100">
        <v>0</v>
      </c>
      <c r="G29" s="100">
        <f>SUM(G28)</f>
        <v>20000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/>
      <c r="R29" s="100">
        <f>SUM(C29:P29)</f>
        <v>20000</v>
      </c>
    </row>
    <row r="30" spans="1:18" ht="15" thickBot="1">
      <c r="A30" s="131" t="s">
        <v>39</v>
      </c>
      <c r="B30" s="133"/>
      <c r="C30" s="120">
        <v>0</v>
      </c>
      <c r="D30" s="133">
        <v>0</v>
      </c>
      <c r="E30" s="133">
        <v>0</v>
      </c>
      <c r="F30" s="133">
        <v>0</v>
      </c>
      <c r="G30" s="133">
        <f>20000</f>
        <v>20000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/>
      <c r="R30" s="133">
        <f>SUM(C30:P30)</f>
        <v>20000</v>
      </c>
    </row>
    <row r="31" spans="1:18" ht="15" thickTop="1">
      <c r="A31" s="129" t="s">
        <v>284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07"/>
      <c r="P31" s="117"/>
      <c r="Q31" s="117"/>
      <c r="R31" s="124"/>
    </row>
    <row r="32" spans="1:18" ht="14.25">
      <c r="A32" s="130" t="s">
        <v>288</v>
      </c>
      <c r="B32" s="116"/>
      <c r="C32" s="116">
        <v>0</v>
      </c>
      <c r="D32" s="116"/>
      <c r="E32" s="116">
        <v>0</v>
      </c>
      <c r="F32" s="116"/>
      <c r="G32" s="116">
        <v>0</v>
      </c>
      <c r="H32" s="116"/>
      <c r="I32" s="116">
        <v>0</v>
      </c>
      <c r="J32" s="116"/>
      <c r="K32" s="116"/>
      <c r="L32" s="116">
        <v>0</v>
      </c>
      <c r="M32" s="116"/>
      <c r="N32" s="116"/>
      <c r="O32" s="110"/>
      <c r="P32" s="116"/>
      <c r="Q32" s="116"/>
      <c r="R32" s="110">
        <f>SUM(C32:P32)</f>
        <v>0</v>
      </c>
    </row>
    <row r="33" spans="1:18" ht="14.25">
      <c r="A33" s="129" t="s">
        <v>289</v>
      </c>
      <c r="B33" s="118"/>
      <c r="C33" s="117">
        <v>0</v>
      </c>
      <c r="D33" s="117"/>
      <c r="E33" s="117">
        <v>0</v>
      </c>
      <c r="F33" s="117"/>
      <c r="G33" s="117">
        <v>0</v>
      </c>
      <c r="H33" s="117"/>
      <c r="I33" s="117">
        <v>0</v>
      </c>
      <c r="J33" s="117"/>
      <c r="K33" s="117"/>
      <c r="L33" s="117">
        <v>0</v>
      </c>
      <c r="M33" s="117"/>
      <c r="N33" s="117"/>
      <c r="O33" s="107"/>
      <c r="P33" s="117"/>
      <c r="Q33" s="117"/>
      <c r="R33" s="107">
        <f>SUM(C33:P33)</f>
        <v>0</v>
      </c>
    </row>
    <row r="34" spans="1:18" ht="14.25">
      <c r="A34" s="130" t="s">
        <v>38</v>
      </c>
      <c r="B34" s="100"/>
      <c r="C34" s="119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/>
      <c r="R34" s="112">
        <f>SUM(C34:P34)</f>
        <v>0</v>
      </c>
    </row>
    <row r="35" spans="1:18" ht="15" thickBot="1">
      <c r="A35" s="131" t="s">
        <v>39</v>
      </c>
      <c r="B35" s="133"/>
      <c r="C35" s="11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/>
      <c r="R35" s="113">
        <f>SUM(C35:P35)</f>
        <v>0</v>
      </c>
    </row>
    <row r="36" ht="15" thickTop="1">
      <c r="C36" s="230"/>
    </row>
    <row r="42" spans="1:18" s="104" customFormat="1" ht="14.25">
      <c r="A42" s="105" t="s">
        <v>122</v>
      </c>
      <c r="B42" s="320" t="s">
        <v>99</v>
      </c>
      <c r="C42" s="321" t="s">
        <v>100</v>
      </c>
      <c r="D42" s="321"/>
      <c r="E42" s="321"/>
      <c r="F42" s="127" t="s">
        <v>101</v>
      </c>
      <c r="G42" s="321" t="s">
        <v>102</v>
      </c>
      <c r="H42" s="321"/>
      <c r="I42" s="321" t="s">
        <v>103</v>
      </c>
      <c r="J42" s="321"/>
      <c r="K42" s="127" t="s">
        <v>104</v>
      </c>
      <c r="L42" s="321" t="s">
        <v>105</v>
      </c>
      <c r="M42" s="321"/>
      <c r="N42" s="321" t="s">
        <v>106</v>
      </c>
      <c r="O42" s="321"/>
      <c r="P42" s="324" t="s">
        <v>120</v>
      </c>
      <c r="Q42" s="325"/>
      <c r="R42" s="318" t="s">
        <v>20</v>
      </c>
    </row>
    <row r="43" spans="1:18" s="104" customFormat="1" ht="14.25">
      <c r="A43" s="106" t="s">
        <v>123</v>
      </c>
      <c r="B43" s="320"/>
      <c r="C43" s="127" t="s">
        <v>107</v>
      </c>
      <c r="D43" s="127" t="s">
        <v>118</v>
      </c>
      <c r="E43" s="127" t="s">
        <v>108</v>
      </c>
      <c r="F43" s="127" t="s">
        <v>109</v>
      </c>
      <c r="G43" s="127" t="s">
        <v>110</v>
      </c>
      <c r="H43" s="127" t="s">
        <v>111</v>
      </c>
      <c r="I43" s="127" t="s">
        <v>112</v>
      </c>
      <c r="J43" s="127" t="s">
        <v>113</v>
      </c>
      <c r="K43" s="127" t="s">
        <v>119</v>
      </c>
      <c r="L43" s="127" t="s">
        <v>114</v>
      </c>
      <c r="M43" s="127" t="s">
        <v>115</v>
      </c>
      <c r="N43" s="127" t="s">
        <v>116</v>
      </c>
      <c r="O43" s="127" t="s">
        <v>117</v>
      </c>
      <c r="P43" s="127" t="s">
        <v>341</v>
      </c>
      <c r="Q43" s="242" t="s">
        <v>121</v>
      </c>
      <c r="R43" s="319"/>
    </row>
    <row r="44" spans="1:18" ht="14.25">
      <c r="A44" s="132" t="s">
        <v>284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8" ht="14.25">
      <c r="A45" s="130" t="s">
        <v>290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>
        <v>0</v>
      </c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4" t="s">
        <v>291</v>
      </c>
      <c r="B46" s="107"/>
      <c r="C46" s="107">
        <v>0</v>
      </c>
      <c r="D46" s="107"/>
      <c r="E46" s="107">
        <v>0</v>
      </c>
      <c r="F46" s="107"/>
      <c r="G46" s="107"/>
      <c r="H46" s="107"/>
      <c r="I46" s="107"/>
      <c r="J46" s="107"/>
      <c r="K46" s="107"/>
      <c r="L46" s="107">
        <v>0</v>
      </c>
      <c r="M46" s="107"/>
      <c r="N46" s="107"/>
      <c r="O46" s="107"/>
      <c r="P46" s="107"/>
      <c r="Q46" s="107"/>
      <c r="R46" s="107">
        <f>SUM(C46:P46)</f>
        <v>0</v>
      </c>
    </row>
    <row r="47" spans="1:18" ht="14.25">
      <c r="A47" s="130" t="s">
        <v>38</v>
      </c>
      <c r="B47" s="100"/>
      <c r="C47" s="112">
        <f>SUM(C45:C46)</f>
        <v>0</v>
      </c>
      <c r="D47" s="100">
        <v>0</v>
      </c>
      <c r="E47" s="100">
        <v>0</v>
      </c>
      <c r="F47" s="100">
        <v>0</v>
      </c>
      <c r="G47" s="100">
        <f>SUM(G45)</f>
        <v>0</v>
      </c>
      <c r="H47" s="100">
        <f>SUM(H45:H46)</f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/>
      <c r="R47" s="100">
        <f>SUM(C47:P47)</f>
        <v>0</v>
      </c>
    </row>
    <row r="48" spans="1:18" ht="15" thickBot="1">
      <c r="A48" s="131" t="s">
        <v>39</v>
      </c>
      <c r="B48" s="133"/>
      <c r="C48" s="113">
        <f>70000</f>
        <v>70000</v>
      </c>
      <c r="D48" s="100">
        <v>0</v>
      </c>
      <c r="E48" s="100">
        <v>0</v>
      </c>
      <c r="F48" s="100">
        <v>0</v>
      </c>
      <c r="G48" s="100">
        <f>-150000</f>
        <v>-150000</v>
      </c>
      <c r="H48" s="100">
        <f>70000</f>
        <v>70000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/>
      <c r="R48" s="100">
        <f>SUM(C48:P48)</f>
        <v>-10000</v>
      </c>
    </row>
    <row r="49" spans="1:18" ht="15" thickTop="1">
      <c r="A49" s="132" t="s">
        <v>292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114"/>
      <c r="Q49" s="114"/>
      <c r="R49" s="115"/>
    </row>
    <row r="50" spans="1:18" ht="14.25">
      <c r="A50" s="130" t="s">
        <v>293</v>
      </c>
      <c r="B50" s="116"/>
      <c r="C50" s="116">
        <v>0</v>
      </c>
      <c r="D50" s="116"/>
      <c r="E50" s="116">
        <v>0</v>
      </c>
      <c r="F50" s="116"/>
      <c r="G50" s="116">
        <v>-20000</v>
      </c>
      <c r="H50" s="116"/>
      <c r="I50" s="116" t="s">
        <v>269</v>
      </c>
      <c r="J50" s="116"/>
      <c r="K50" s="116"/>
      <c r="L50" s="116">
        <v>0</v>
      </c>
      <c r="M50" s="116">
        <v>0</v>
      </c>
      <c r="N50" s="116"/>
      <c r="O50" s="110"/>
      <c r="P50" s="116"/>
      <c r="Q50" s="116"/>
      <c r="R50" s="110">
        <f aca="true" t="shared" si="1" ref="R50:R56">SUM(C50:P50)</f>
        <v>-20000</v>
      </c>
    </row>
    <row r="51" spans="1:18" ht="14.25">
      <c r="A51" s="129" t="s">
        <v>294</v>
      </c>
      <c r="B51" s="117"/>
      <c r="C51" s="117">
        <v>0</v>
      </c>
      <c r="D51" s="117"/>
      <c r="E51" s="117">
        <v>0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07"/>
      <c r="P51" s="117"/>
      <c r="Q51" s="117"/>
      <c r="R51" s="107">
        <f t="shared" si="1"/>
        <v>0</v>
      </c>
    </row>
    <row r="52" spans="1:18" ht="14.25">
      <c r="A52" s="130" t="s">
        <v>295</v>
      </c>
      <c r="B52" s="116"/>
      <c r="C52" s="116">
        <v>0</v>
      </c>
      <c r="D52" s="116"/>
      <c r="E52" s="116">
        <v>0</v>
      </c>
      <c r="F52" s="116"/>
      <c r="G52" s="116">
        <v>0</v>
      </c>
      <c r="H52" s="116"/>
      <c r="I52" s="116"/>
      <c r="J52" s="116"/>
      <c r="K52" s="116"/>
      <c r="L52" s="116">
        <v>0</v>
      </c>
      <c r="M52" s="116"/>
      <c r="N52" s="116"/>
      <c r="O52" s="110"/>
      <c r="P52" s="116"/>
      <c r="Q52" s="116"/>
      <c r="R52" s="110">
        <f>SUM(C52:Q52)</f>
        <v>0</v>
      </c>
    </row>
    <row r="53" spans="1:18" ht="14.25">
      <c r="A53" s="130" t="s">
        <v>296</v>
      </c>
      <c r="B53" s="116"/>
      <c r="C53" s="116">
        <v>0</v>
      </c>
      <c r="D53" s="116"/>
      <c r="E53" s="116"/>
      <c r="F53" s="116">
        <v>0</v>
      </c>
      <c r="G53" s="116">
        <v>0</v>
      </c>
      <c r="H53" s="116"/>
      <c r="I53" s="116"/>
      <c r="J53" s="116"/>
      <c r="K53" s="116"/>
      <c r="L53" s="116">
        <v>0</v>
      </c>
      <c r="M53" s="116"/>
      <c r="N53" s="233"/>
      <c r="O53" s="110"/>
      <c r="P53" s="116"/>
      <c r="Q53" s="116"/>
      <c r="R53" s="110">
        <f t="shared" si="1"/>
        <v>0</v>
      </c>
    </row>
    <row r="54" spans="1:18" ht="14.25">
      <c r="A54" s="166" t="s">
        <v>297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234"/>
      <c r="O54" s="111"/>
      <c r="P54" s="118"/>
      <c r="Q54" s="118"/>
      <c r="R54" s="126"/>
    </row>
    <row r="55" spans="1:18" ht="14.25">
      <c r="A55" s="130" t="s">
        <v>38</v>
      </c>
      <c r="B55" s="100"/>
      <c r="C55" s="119">
        <f>SUM(C50:C54)</f>
        <v>0</v>
      </c>
      <c r="D55" s="100">
        <v>0</v>
      </c>
      <c r="E55" s="100">
        <f>SUM(E50:E54)</f>
        <v>0</v>
      </c>
      <c r="F55" s="100">
        <v>0</v>
      </c>
      <c r="G55" s="100">
        <f>SUM(G50)</f>
        <v>-20000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f>SUM(M50:M53)</f>
        <v>0</v>
      </c>
      <c r="N55" s="100">
        <v>0</v>
      </c>
      <c r="O55" s="100">
        <v>0</v>
      </c>
      <c r="P55" s="100">
        <v>0</v>
      </c>
      <c r="Q55" s="100"/>
      <c r="R55" s="112">
        <f t="shared" si="1"/>
        <v>-20000</v>
      </c>
    </row>
    <row r="56" spans="1:18" ht="15" thickBot="1">
      <c r="A56" s="131" t="s">
        <v>39</v>
      </c>
      <c r="B56" s="133"/>
      <c r="C56" s="120">
        <f>-70000</f>
        <v>-70000</v>
      </c>
      <c r="D56" s="133">
        <v>0</v>
      </c>
      <c r="E56" s="133">
        <f>-30000</f>
        <v>-30000</v>
      </c>
      <c r="F56" s="133">
        <v>0</v>
      </c>
      <c r="G56" s="133">
        <f>-20000</f>
        <v>-20000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00">
        <v>0</v>
      </c>
      <c r="P56" s="133">
        <v>0</v>
      </c>
      <c r="Q56" s="133"/>
      <c r="R56" s="113">
        <f t="shared" si="1"/>
        <v>-120000</v>
      </c>
    </row>
    <row r="57" spans="1:18" ht="15" thickTop="1">
      <c r="A57" s="134" t="s">
        <v>298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3"/>
      <c r="O57" s="124"/>
      <c r="P57" s="123"/>
      <c r="Q57" s="123"/>
      <c r="R57" s="124"/>
    </row>
    <row r="58" spans="1:18" ht="14.25">
      <c r="A58" s="134" t="s">
        <v>299</v>
      </c>
      <c r="B58" s="266" t="s">
        <v>481</v>
      </c>
      <c r="C58" s="122">
        <v>0</v>
      </c>
      <c r="D58" s="122"/>
      <c r="E58" s="122">
        <v>0</v>
      </c>
      <c r="F58" s="122"/>
      <c r="G58" s="122">
        <v>0</v>
      </c>
      <c r="H58" s="122"/>
      <c r="I58" s="122"/>
      <c r="J58" s="122"/>
      <c r="K58" s="122"/>
      <c r="L58" s="122"/>
      <c r="M58" s="122"/>
      <c r="N58" s="122"/>
      <c r="O58" s="123"/>
      <c r="P58" s="122"/>
      <c r="Q58" s="122"/>
      <c r="R58" s="123">
        <f>SUM(C58:P58)</f>
        <v>0</v>
      </c>
    </row>
    <row r="59" spans="1:18" ht="14.25">
      <c r="A59" s="130" t="s">
        <v>300</v>
      </c>
      <c r="B59" s="116"/>
      <c r="C59" s="116">
        <v>0</v>
      </c>
      <c r="D59" s="116"/>
      <c r="E59" s="116" t="s">
        <v>496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0"/>
      <c r="P59" s="116"/>
      <c r="Q59" s="116"/>
      <c r="R59" s="110">
        <f>SUM(C59:Q59)</f>
        <v>0</v>
      </c>
    </row>
    <row r="60" spans="1:18" ht="14.25">
      <c r="A60" s="134" t="s">
        <v>301</v>
      </c>
      <c r="B60" s="116"/>
      <c r="C60" s="116">
        <f>-30000+30000</f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/>
      <c r="J60" s="116">
        <v>0</v>
      </c>
      <c r="K60" s="116"/>
      <c r="L60" s="116"/>
      <c r="M60" s="116"/>
      <c r="N60" s="116">
        <v>0</v>
      </c>
      <c r="O60" s="110">
        <v>0</v>
      </c>
      <c r="P60" s="116"/>
      <c r="Q60" s="116"/>
      <c r="R60" s="110">
        <f>SUM(C60:Q60)</f>
        <v>0</v>
      </c>
    </row>
    <row r="61" spans="1:18" ht="14.25">
      <c r="A61" s="134" t="s">
        <v>302</v>
      </c>
      <c r="B61" s="116"/>
      <c r="C61" s="116">
        <v>0</v>
      </c>
      <c r="D61" s="116"/>
      <c r="E61" s="116">
        <v>0</v>
      </c>
      <c r="F61" s="116"/>
      <c r="G61" s="116">
        <v>0</v>
      </c>
      <c r="H61" s="116"/>
      <c r="I61" s="116"/>
      <c r="J61" s="116"/>
      <c r="K61" s="116"/>
      <c r="L61" s="116">
        <v>0</v>
      </c>
      <c r="M61" s="116"/>
      <c r="N61" s="116"/>
      <c r="O61" s="110"/>
      <c r="P61" s="116"/>
      <c r="Q61" s="116"/>
      <c r="R61" s="110">
        <f>SUM(C61:Q61)</f>
        <v>0</v>
      </c>
    </row>
    <row r="62" spans="1:18" ht="14.25">
      <c r="A62" s="130" t="s">
        <v>38</v>
      </c>
      <c r="B62" s="100"/>
      <c r="C62" s="119">
        <f>SUM(C58:C61)</f>
        <v>0</v>
      </c>
      <c r="D62" s="100">
        <f>SUM(D60:D61)</f>
        <v>0</v>
      </c>
      <c r="E62" s="100">
        <f>SUM(E60:E61)</f>
        <v>0</v>
      </c>
      <c r="F62" s="100">
        <f>SUM(F60)</f>
        <v>0</v>
      </c>
      <c r="G62" s="100">
        <f>SUM(G58)</f>
        <v>0</v>
      </c>
      <c r="H62" s="100">
        <v>0</v>
      </c>
      <c r="I62" s="100">
        <v>0</v>
      </c>
      <c r="J62" s="100">
        <f>SUM(J60)</f>
        <v>0</v>
      </c>
      <c r="K62" s="100">
        <v>0</v>
      </c>
      <c r="L62" s="100">
        <f>SUM(L58:L61)</f>
        <v>0</v>
      </c>
      <c r="M62" s="100">
        <v>0</v>
      </c>
      <c r="N62" s="100">
        <v>0</v>
      </c>
      <c r="O62" s="100">
        <f>SUM(O58:O61)</f>
        <v>0</v>
      </c>
      <c r="P62" s="100">
        <v>0</v>
      </c>
      <c r="Q62" s="100"/>
      <c r="R62" s="112">
        <f>SUM(C62:P62)</f>
        <v>0</v>
      </c>
    </row>
    <row r="63" spans="1:18" ht="15" thickBot="1">
      <c r="A63" s="131" t="s">
        <v>39</v>
      </c>
      <c r="B63" s="133"/>
      <c r="C63" s="120">
        <f>101900</f>
        <v>101900</v>
      </c>
      <c r="D63" s="133">
        <f>-30000</f>
        <v>-30000</v>
      </c>
      <c r="E63" s="133">
        <v>0</v>
      </c>
      <c r="F63" s="133">
        <v>0</v>
      </c>
      <c r="G63" s="133">
        <f>80000</f>
        <v>80000</v>
      </c>
      <c r="H63" s="133">
        <v>0</v>
      </c>
      <c r="I63" s="133">
        <v>0</v>
      </c>
      <c r="J63" s="133">
        <f>-21900</f>
        <v>-21900</v>
      </c>
      <c r="K63" s="133">
        <v>0</v>
      </c>
      <c r="L63" s="133">
        <f>SUM(L62)</f>
        <v>0</v>
      </c>
      <c r="M63" s="133">
        <v>0</v>
      </c>
      <c r="N63" s="133">
        <v>0</v>
      </c>
      <c r="O63" s="133">
        <f>-50000</f>
        <v>-50000</v>
      </c>
      <c r="P63" s="133">
        <v>0</v>
      </c>
      <c r="Q63" s="133"/>
      <c r="R63" s="113">
        <f>SUM(C63:Q63)</f>
        <v>80000</v>
      </c>
    </row>
    <row r="64" spans="1:18" ht="15" thickTop="1">
      <c r="A64" s="134" t="s">
        <v>303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3"/>
      <c r="O64" s="124"/>
      <c r="P64" s="123"/>
      <c r="Q64" s="123"/>
      <c r="R64" s="124"/>
    </row>
    <row r="65" spans="1:18" ht="14.25">
      <c r="A65" s="134" t="s">
        <v>304</v>
      </c>
      <c r="B65" s="122"/>
      <c r="C65" s="122">
        <v>0</v>
      </c>
      <c r="D65" s="122"/>
      <c r="E65" s="122">
        <v>0</v>
      </c>
      <c r="F65" s="122"/>
      <c r="G65" s="122">
        <v>0</v>
      </c>
      <c r="H65" s="122"/>
      <c r="I65" s="122"/>
      <c r="J65" s="122"/>
      <c r="K65" s="122"/>
      <c r="L65" s="122"/>
      <c r="M65" s="122"/>
      <c r="N65" s="122"/>
      <c r="O65" s="123"/>
      <c r="P65" s="122"/>
      <c r="Q65" s="122"/>
      <c r="R65" s="123">
        <f>SUM(C65:P65)</f>
        <v>0</v>
      </c>
    </row>
    <row r="66" spans="1:18" ht="14.25">
      <c r="A66" s="130" t="s">
        <v>305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0"/>
      <c r="P66" s="116"/>
      <c r="Q66" s="116"/>
      <c r="R66" s="110"/>
    </row>
    <row r="67" spans="1:18" ht="14.25">
      <c r="A67" s="134" t="s">
        <v>306</v>
      </c>
      <c r="B67" s="116"/>
      <c r="C67" s="116"/>
      <c r="D67" s="116"/>
      <c r="E67" s="116">
        <v>0</v>
      </c>
      <c r="F67" s="116"/>
      <c r="G67" s="116"/>
      <c r="H67" s="116">
        <v>0</v>
      </c>
      <c r="I67" s="116"/>
      <c r="J67" s="116"/>
      <c r="K67" s="116"/>
      <c r="L67" s="116"/>
      <c r="M67" s="116"/>
      <c r="N67" s="116"/>
      <c r="O67" s="110"/>
      <c r="P67" s="116"/>
      <c r="Q67" s="116"/>
      <c r="R67" s="110">
        <f>SUM(C67:P67)</f>
        <v>0</v>
      </c>
    </row>
    <row r="68" spans="1:18" ht="14.25">
      <c r="A68" s="134" t="s">
        <v>307</v>
      </c>
      <c r="B68" s="116"/>
      <c r="C68" s="116"/>
      <c r="D68" s="116"/>
      <c r="E68" s="116"/>
      <c r="F68" s="116"/>
      <c r="G68" s="116"/>
      <c r="H68" s="116">
        <v>0</v>
      </c>
      <c r="I68" s="116"/>
      <c r="J68" s="116"/>
      <c r="K68" s="116"/>
      <c r="L68" s="116"/>
      <c r="M68" s="116"/>
      <c r="N68" s="116"/>
      <c r="O68" s="110"/>
      <c r="P68" s="116"/>
      <c r="Q68" s="116"/>
      <c r="R68" s="110">
        <f>SUM(H68:Q68)</f>
        <v>0</v>
      </c>
    </row>
    <row r="69" spans="1:18" ht="14.25">
      <c r="A69" s="134" t="s">
        <v>308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0"/>
      <c r="P69" s="116"/>
      <c r="Q69" s="116"/>
      <c r="R69" s="110"/>
    </row>
    <row r="70" spans="1:18" ht="14.25">
      <c r="A70" s="134" t="s">
        <v>309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>
        <v>0</v>
      </c>
      <c r="M70" s="116"/>
      <c r="N70" s="116"/>
      <c r="O70" s="110"/>
      <c r="P70" s="116"/>
      <c r="Q70" s="116"/>
      <c r="R70" s="110">
        <f>SUM(L70:Q70)</f>
        <v>0</v>
      </c>
    </row>
    <row r="71" spans="1:18" ht="14.25">
      <c r="A71" s="134" t="s">
        <v>310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0"/>
      <c r="P71" s="116"/>
      <c r="Q71" s="116"/>
      <c r="R71" s="110"/>
    </row>
    <row r="72" spans="1:18" ht="14.25">
      <c r="A72" s="134" t="s">
        <v>311</v>
      </c>
      <c r="B72" s="116"/>
      <c r="C72" s="116">
        <v>0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0"/>
      <c r="P72" s="116"/>
      <c r="Q72" s="116"/>
      <c r="R72" s="110">
        <f>SUM(C72:Q72)</f>
        <v>0</v>
      </c>
    </row>
    <row r="73" spans="1:18" ht="14.25">
      <c r="A73" s="134" t="s">
        <v>312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0"/>
      <c r="P73" s="116"/>
      <c r="Q73" s="116"/>
      <c r="R73" s="110">
        <v>0</v>
      </c>
    </row>
    <row r="74" spans="1:18" ht="14.25">
      <c r="A74" s="134" t="s">
        <v>313</v>
      </c>
      <c r="B74" s="116"/>
      <c r="C74" s="116">
        <v>0</v>
      </c>
      <c r="D74" s="116"/>
      <c r="E74" s="116">
        <v>0</v>
      </c>
      <c r="F74" s="116"/>
      <c r="G74" s="116"/>
      <c r="H74" s="116"/>
      <c r="I74" s="116"/>
      <c r="J74" s="116"/>
      <c r="K74" s="116"/>
      <c r="L74" s="116">
        <v>0</v>
      </c>
      <c r="M74" s="116"/>
      <c r="N74" s="116"/>
      <c r="O74" s="110"/>
      <c r="P74" s="116"/>
      <c r="Q74" s="116"/>
      <c r="R74" s="110">
        <f>SUM(C74:E74)</f>
        <v>0</v>
      </c>
    </row>
    <row r="75" spans="1:18" ht="14.25">
      <c r="A75" s="134" t="s">
        <v>314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0"/>
      <c r="P75" s="116"/>
      <c r="Q75" s="116"/>
      <c r="R75" s="110"/>
    </row>
    <row r="76" spans="1:18" ht="14.25">
      <c r="A76" s="134" t="s">
        <v>315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0"/>
      <c r="P76" s="116"/>
      <c r="Q76" s="116"/>
      <c r="R76" s="110"/>
    </row>
    <row r="77" spans="1:18" ht="14.25">
      <c r="A77" s="130" t="s">
        <v>38</v>
      </c>
      <c r="B77" s="100"/>
      <c r="C77" s="119">
        <f>SUM(C65:C76)</f>
        <v>0</v>
      </c>
      <c r="D77" s="100">
        <f>SUM(D67:D76)</f>
        <v>0</v>
      </c>
      <c r="E77" s="100">
        <f>SUM(E65:E76)</f>
        <v>0</v>
      </c>
      <c r="F77" s="100">
        <v>0</v>
      </c>
      <c r="G77" s="100">
        <f>SUM(G65)</f>
        <v>0</v>
      </c>
      <c r="H77" s="100">
        <f>SUM(H65:H76)</f>
        <v>0</v>
      </c>
      <c r="I77" s="100">
        <v>0</v>
      </c>
      <c r="J77" s="100">
        <v>0</v>
      </c>
      <c r="K77" s="100">
        <v>0</v>
      </c>
      <c r="L77" s="100">
        <f>SUM(L66:L76)</f>
        <v>0</v>
      </c>
      <c r="M77" s="100">
        <v>0</v>
      </c>
      <c r="N77" s="100">
        <v>0</v>
      </c>
      <c r="O77" s="100">
        <v>0</v>
      </c>
      <c r="P77" s="100">
        <v>0</v>
      </c>
      <c r="Q77" s="100"/>
      <c r="R77" s="112">
        <f>SUM(R65:R76)</f>
        <v>0</v>
      </c>
    </row>
    <row r="78" spans="1:18" ht="15" thickBot="1">
      <c r="A78" s="131" t="s">
        <v>39</v>
      </c>
      <c r="B78" s="133"/>
      <c r="C78" s="120">
        <v>0</v>
      </c>
      <c r="D78" s="133">
        <v>0</v>
      </c>
      <c r="E78" s="133">
        <f>30000</f>
        <v>30000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  <c r="P78" s="133">
        <v>0</v>
      </c>
      <c r="Q78" s="133"/>
      <c r="R78" s="113">
        <f>SUM(C78:Q78)</f>
        <v>30000</v>
      </c>
    </row>
    <row r="79" ht="15" thickTop="1"/>
    <row r="82" spans="1:18" s="104" customFormat="1" ht="13.5" customHeight="1">
      <c r="A82" s="105" t="s">
        <v>122</v>
      </c>
      <c r="B82" s="320" t="s">
        <v>99</v>
      </c>
      <c r="C82" s="321" t="s">
        <v>100</v>
      </c>
      <c r="D82" s="321"/>
      <c r="E82" s="321"/>
      <c r="F82" s="127" t="s">
        <v>101</v>
      </c>
      <c r="G82" s="321" t="s">
        <v>102</v>
      </c>
      <c r="H82" s="321"/>
      <c r="I82" s="321" t="s">
        <v>103</v>
      </c>
      <c r="J82" s="321"/>
      <c r="K82" s="127" t="s">
        <v>104</v>
      </c>
      <c r="L82" s="321" t="s">
        <v>105</v>
      </c>
      <c r="M82" s="321"/>
      <c r="N82" s="321" t="s">
        <v>106</v>
      </c>
      <c r="O82" s="321"/>
      <c r="P82" s="324" t="s">
        <v>120</v>
      </c>
      <c r="Q82" s="325"/>
      <c r="R82" s="318" t="s">
        <v>20</v>
      </c>
    </row>
    <row r="83" spans="1:18" s="104" customFormat="1" ht="13.5" customHeight="1">
      <c r="A83" s="106" t="s">
        <v>123</v>
      </c>
      <c r="B83" s="320"/>
      <c r="C83" s="127" t="s">
        <v>107</v>
      </c>
      <c r="D83" s="127" t="s">
        <v>118</v>
      </c>
      <c r="E83" s="127" t="s">
        <v>108</v>
      </c>
      <c r="F83" s="127" t="s">
        <v>109</v>
      </c>
      <c r="G83" s="127" t="s">
        <v>110</v>
      </c>
      <c r="H83" s="127" t="s">
        <v>111</v>
      </c>
      <c r="I83" s="127" t="s">
        <v>112</v>
      </c>
      <c r="J83" s="127" t="s">
        <v>113</v>
      </c>
      <c r="K83" s="127" t="s">
        <v>119</v>
      </c>
      <c r="L83" s="127" t="s">
        <v>114</v>
      </c>
      <c r="M83" s="127" t="s">
        <v>115</v>
      </c>
      <c r="N83" s="127" t="s">
        <v>116</v>
      </c>
      <c r="O83" s="127" t="s">
        <v>117</v>
      </c>
      <c r="P83" s="127" t="s">
        <v>341</v>
      </c>
      <c r="Q83" s="242" t="s">
        <v>121</v>
      </c>
      <c r="R83" s="319"/>
    </row>
    <row r="84" spans="1:18" ht="13.5" customHeight="1">
      <c r="A84" s="132" t="s">
        <v>316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</row>
    <row r="85" spans="1:18" ht="13.5" customHeight="1">
      <c r="A85" s="134" t="s">
        <v>317</v>
      </c>
      <c r="B85" s="107"/>
      <c r="C85" s="107">
        <v>0</v>
      </c>
      <c r="D85" s="107"/>
      <c r="E85" s="107"/>
      <c r="F85" s="107"/>
      <c r="G85" s="107">
        <v>0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>
        <f>SUM(C85:P85)</f>
        <v>0</v>
      </c>
    </row>
    <row r="86" spans="1:18" ht="13.5" customHeight="1">
      <c r="A86" s="130" t="s">
        <v>318</v>
      </c>
      <c r="B86" s="110"/>
      <c r="C86" s="110">
        <v>0</v>
      </c>
      <c r="D86" s="110"/>
      <c r="E86" s="110"/>
      <c r="F86" s="110"/>
      <c r="G86" s="110">
        <v>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>
        <f>SUM(C86:P86)</f>
        <v>0</v>
      </c>
    </row>
    <row r="87" spans="1:18" ht="13.5" customHeight="1">
      <c r="A87" s="130" t="s">
        <v>319</v>
      </c>
      <c r="B87" s="110"/>
      <c r="C87" s="110">
        <v>0</v>
      </c>
      <c r="D87" s="110"/>
      <c r="E87" s="110"/>
      <c r="F87" s="110"/>
      <c r="G87" s="110">
        <v>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>
        <f>SUM(C87:P87)</f>
        <v>0</v>
      </c>
    </row>
    <row r="88" spans="1:18" ht="13.5" customHeight="1">
      <c r="A88" s="129" t="s">
        <v>320</v>
      </c>
      <c r="B88" s="110"/>
      <c r="C88" s="110">
        <v>0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1:18" ht="13.5" customHeight="1">
      <c r="A89" s="130" t="s">
        <v>321</v>
      </c>
      <c r="B89" s="111"/>
      <c r="C89" s="111">
        <v>0</v>
      </c>
      <c r="D89" s="111"/>
      <c r="E89" s="111"/>
      <c r="F89" s="111"/>
      <c r="G89" s="111">
        <v>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>
        <f>SUM(C89:P89)</f>
        <v>0</v>
      </c>
    </row>
    <row r="90" spans="1:18" ht="13.5" customHeight="1">
      <c r="A90" s="130" t="s">
        <v>38</v>
      </c>
      <c r="B90" s="100"/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00"/>
      <c r="R90" s="112">
        <f>SUM(C90:P90)</f>
        <v>0</v>
      </c>
    </row>
    <row r="91" spans="1:18" ht="13.5" customHeight="1" thickBot="1">
      <c r="A91" s="131" t="s">
        <v>39</v>
      </c>
      <c r="B91" s="100"/>
      <c r="C91" s="100">
        <v>0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0">
        <v>0</v>
      </c>
      <c r="P91" s="100">
        <v>0</v>
      </c>
      <c r="Q91" s="240"/>
      <c r="R91" s="113">
        <f>SUM(C91:P91)</f>
        <v>0</v>
      </c>
    </row>
    <row r="92" spans="1:18" ht="13.5" customHeight="1" thickTop="1">
      <c r="A92" s="132" t="s">
        <v>322</v>
      </c>
      <c r="B92" s="114"/>
      <c r="C92" s="114"/>
      <c r="D92" s="114"/>
      <c r="E92" s="114"/>
      <c r="F92" s="114"/>
      <c r="G92" s="114"/>
      <c r="H92" s="114"/>
      <c r="I92" s="114"/>
      <c r="J92" s="124"/>
      <c r="K92" s="114"/>
      <c r="L92" s="114"/>
      <c r="M92" s="114"/>
      <c r="N92" s="114"/>
      <c r="O92" s="115"/>
      <c r="P92" s="114"/>
      <c r="Q92" s="114"/>
      <c r="R92" s="115"/>
    </row>
    <row r="93" spans="1:18" ht="13.5" customHeight="1">
      <c r="A93" s="130" t="s">
        <v>323</v>
      </c>
      <c r="B93" s="116"/>
      <c r="C93" s="116"/>
      <c r="D93" s="116"/>
      <c r="E93" s="116"/>
      <c r="F93" s="116"/>
      <c r="G93" s="116"/>
      <c r="H93" s="116"/>
      <c r="I93" s="116"/>
      <c r="J93" s="122"/>
      <c r="K93" s="116"/>
      <c r="L93" s="116"/>
      <c r="M93" s="116"/>
      <c r="N93" s="116"/>
      <c r="O93" s="110"/>
      <c r="P93" s="116"/>
      <c r="Q93" s="116"/>
      <c r="R93" s="110"/>
    </row>
    <row r="94" spans="1:18" ht="13.5" customHeight="1">
      <c r="A94" s="130" t="s">
        <v>324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0"/>
      <c r="P94" s="116"/>
      <c r="Q94" s="116"/>
      <c r="R94" s="110"/>
    </row>
    <row r="95" spans="1:18" ht="13.5" customHeight="1">
      <c r="A95" s="130" t="s">
        <v>325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0"/>
      <c r="P95" s="116"/>
      <c r="Q95" s="116"/>
      <c r="R95" s="110"/>
    </row>
    <row r="96" spans="1:18" ht="13.5" customHeight="1">
      <c r="A96" s="130" t="s">
        <v>326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0"/>
      <c r="P96" s="116"/>
      <c r="Q96" s="116"/>
      <c r="R96" s="110"/>
    </row>
    <row r="97" spans="1:18" ht="13.5" customHeight="1">
      <c r="A97" s="130" t="s">
        <v>327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0"/>
      <c r="P97" s="116"/>
      <c r="Q97" s="116"/>
      <c r="R97" s="110"/>
    </row>
    <row r="98" spans="1:18" ht="13.5" customHeight="1">
      <c r="A98" s="134" t="s">
        <v>328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3"/>
      <c r="P98" s="122"/>
      <c r="Q98" s="122"/>
      <c r="R98" s="123"/>
    </row>
    <row r="99" spans="1:18" ht="13.5" customHeight="1">
      <c r="A99" s="130" t="s">
        <v>329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0"/>
      <c r="P99" s="116"/>
      <c r="Q99" s="116"/>
      <c r="R99" s="110"/>
    </row>
    <row r="100" spans="1:18" ht="13.5" customHeight="1">
      <c r="A100" s="134" t="s">
        <v>330</v>
      </c>
      <c r="B100" s="117"/>
      <c r="C100" s="117">
        <v>0</v>
      </c>
      <c r="D100" s="117"/>
      <c r="E100" s="117"/>
      <c r="F100" s="117"/>
      <c r="G100" s="117">
        <v>0</v>
      </c>
      <c r="H100" s="193"/>
      <c r="I100" s="117"/>
      <c r="J100" s="117"/>
      <c r="K100" s="117"/>
      <c r="L100" s="117"/>
      <c r="M100" s="117"/>
      <c r="N100" s="117"/>
      <c r="O100" s="107"/>
      <c r="P100" s="117"/>
      <c r="Q100" s="117"/>
      <c r="R100" s="264">
        <f>SUM(C100)</f>
        <v>0</v>
      </c>
    </row>
    <row r="101" spans="1:18" ht="13.5" customHeight="1">
      <c r="A101" s="130" t="s">
        <v>38</v>
      </c>
      <c r="B101" s="100"/>
      <c r="C101" s="100">
        <f>SUM(C100)</f>
        <v>0</v>
      </c>
      <c r="D101" s="100">
        <v>0</v>
      </c>
      <c r="E101" s="100">
        <v>0</v>
      </c>
      <c r="F101" s="100">
        <v>0</v>
      </c>
      <c r="G101" s="112">
        <f>SUM(G100)</f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/>
      <c r="R101" s="112">
        <f>SUM(C101)</f>
        <v>0</v>
      </c>
    </row>
    <row r="102" spans="1:18" ht="13.5" customHeight="1" thickBot="1">
      <c r="A102" s="131" t="s">
        <v>39</v>
      </c>
      <c r="B102" s="133"/>
      <c r="C102" s="133">
        <v>0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  <c r="P102" s="133">
        <v>0</v>
      </c>
      <c r="Q102" s="133"/>
      <c r="R102" s="113">
        <f>SUM(C102:Q102)</f>
        <v>0</v>
      </c>
    </row>
    <row r="103" spans="1:18" ht="13.5" customHeight="1" thickTop="1">
      <c r="A103" s="134" t="s">
        <v>331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3"/>
      <c r="O103" s="123"/>
      <c r="P103" s="123"/>
      <c r="Q103" s="123"/>
      <c r="R103" s="124"/>
    </row>
    <row r="104" spans="1:18" ht="13.5" customHeight="1">
      <c r="A104" s="134" t="s">
        <v>332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3"/>
      <c r="P104" s="122"/>
      <c r="Q104" s="122"/>
      <c r="R104" s="123"/>
    </row>
    <row r="105" spans="1:18" ht="13.5" customHeight="1">
      <c r="A105" s="134" t="s">
        <v>333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3"/>
      <c r="P105" s="122"/>
      <c r="Q105" s="122"/>
      <c r="R105" s="123"/>
    </row>
    <row r="106" spans="1:18" ht="13.5" customHeight="1">
      <c r="A106" s="130" t="s">
        <v>334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0"/>
      <c r="P106" s="116"/>
      <c r="Q106" s="116"/>
      <c r="R106" s="110"/>
    </row>
    <row r="107" spans="1:18" ht="13.5" customHeight="1">
      <c r="A107" s="130" t="s">
        <v>38</v>
      </c>
      <c r="B107" s="100"/>
      <c r="C107" s="100">
        <f>SUM(C105:C106)</f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0">
        <v>0</v>
      </c>
      <c r="P107" s="100">
        <v>0</v>
      </c>
      <c r="Q107" s="100"/>
      <c r="R107" s="100">
        <f>SUM(C107:P107)</f>
        <v>0</v>
      </c>
    </row>
    <row r="108" spans="1:18" ht="13.5" customHeight="1" thickBot="1">
      <c r="A108" s="131" t="s">
        <v>39</v>
      </c>
      <c r="B108" s="133"/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133"/>
      <c r="R108" s="113">
        <f>SUM(C108:P108)</f>
        <v>0</v>
      </c>
    </row>
    <row r="109" spans="1:18" ht="13.5" customHeight="1" thickTop="1">
      <c r="A109" s="134" t="s">
        <v>335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3"/>
      <c r="N109" s="122"/>
      <c r="O109" s="124"/>
      <c r="P109" s="122"/>
      <c r="Q109" s="122"/>
      <c r="R109" s="110"/>
    </row>
    <row r="110" spans="1:18" ht="13.5" customHeight="1">
      <c r="A110" s="134" t="s">
        <v>336</v>
      </c>
      <c r="B110" s="110"/>
      <c r="C110" s="116">
        <v>0</v>
      </c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0"/>
      <c r="P110" s="116"/>
      <c r="Q110" s="116"/>
      <c r="R110" s="110">
        <f>SUM(C110:Q110)</f>
        <v>0</v>
      </c>
    </row>
    <row r="111" spans="1:18" ht="13.5" customHeight="1">
      <c r="A111" s="134" t="s">
        <v>337</v>
      </c>
      <c r="B111" s="117"/>
      <c r="C111" s="116">
        <v>0</v>
      </c>
      <c r="D111" s="116"/>
      <c r="E111" s="116"/>
      <c r="F111" s="116"/>
      <c r="G111" s="116"/>
      <c r="H111" s="116">
        <v>0</v>
      </c>
      <c r="I111" s="116"/>
      <c r="J111" s="116"/>
      <c r="K111" s="116"/>
      <c r="L111" s="116"/>
      <c r="M111" s="116"/>
      <c r="N111" s="116"/>
      <c r="O111" s="116">
        <v>0</v>
      </c>
      <c r="P111" s="110"/>
      <c r="Q111" s="110"/>
      <c r="R111" s="110">
        <f>SUM(C111:P111)</f>
        <v>0</v>
      </c>
    </row>
    <row r="112" spans="1:18" ht="13.5" customHeight="1">
      <c r="A112" s="130" t="s">
        <v>338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0"/>
      <c r="Q112" s="110"/>
      <c r="R112" s="110">
        <f>SUM(C112:P112)</f>
        <v>0</v>
      </c>
    </row>
    <row r="113" spans="1:18" ht="13.5" customHeight="1">
      <c r="A113" s="130" t="s">
        <v>38</v>
      </c>
      <c r="B113" s="100"/>
      <c r="C113" s="100">
        <f>SUM(C110:C112)</f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f>SUM(M109:M112)</f>
        <v>0</v>
      </c>
      <c r="N113" s="100">
        <f>SUM(N111:N112)</f>
        <v>0</v>
      </c>
      <c r="O113" s="100">
        <f>SUM(O111:O112)</f>
        <v>0</v>
      </c>
      <c r="P113" s="100">
        <f>SUM(P109:P112)</f>
        <v>0</v>
      </c>
      <c r="Q113" s="100"/>
      <c r="R113" s="100">
        <f>SUM(C113:P113)</f>
        <v>0</v>
      </c>
    </row>
    <row r="114" spans="1:18" ht="13.5" customHeight="1" thickBot="1">
      <c r="A114" s="131" t="s">
        <v>39</v>
      </c>
      <c r="B114" s="133"/>
      <c r="C114" s="133">
        <v>0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0</v>
      </c>
      <c r="N114" s="133">
        <f>SUM(N112:N113)</f>
        <v>0</v>
      </c>
      <c r="O114" s="133">
        <v>0</v>
      </c>
      <c r="P114" s="133">
        <v>0</v>
      </c>
      <c r="Q114" s="133"/>
      <c r="R114" s="133">
        <f>SUM(C114:P114)</f>
        <v>0</v>
      </c>
    </row>
    <row r="115" spans="1:18" ht="13.5" customHeight="1" thickTop="1">
      <c r="A115" s="134" t="s">
        <v>339</v>
      </c>
      <c r="B115" s="117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3"/>
      <c r="P115" s="122"/>
      <c r="Q115" s="122"/>
      <c r="R115" s="123"/>
    </row>
    <row r="116" spans="1:18" ht="13.5" customHeight="1">
      <c r="A116" s="134" t="s">
        <v>340</v>
      </c>
      <c r="B116" s="118"/>
      <c r="C116" s="117"/>
      <c r="D116" s="117">
        <v>0</v>
      </c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07"/>
      <c r="P116" s="117"/>
      <c r="Q116" s="117"/>
      <c r="R116" s="107">
        <f>SUM(B116:P116)</f>
        <v>0</v>
      </c>
    </row>
    <row r="117" spans="1:18" ht="13.5" customHeight="1">
      <c r="A117" s="130" t="s">
        <v>38</v>
      </c>
      <c r="B117" s="100">
        <v>0</v>
      </c>
      <c r="C117" s="100">
        <v>0</v>
      </c>
      <c r="D117" s="100">
        <f>SUM(D116)</f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0</v>
      </c>
      <c r="P117" s="100">
        <v>0</v>
      </c>
      <c r="Q117" s="100"/>
      <c r="R117" s="100">
        <f>SUM(B117:P117)</f>
        <v>0</v>
      </c>
    </row>
    <row r="118" spans="1:18" ht="13.5" customHeight="1" thickBot="1">
      <c r="A118" s="131" t="s">
        <v>39</v>
      </c>
      <c r="B118" s="133">
        <v>0</v>
      </c>
      <c r="C118" s="133">
        <v>0</v>
      </c>
      <c r="D118" s="133">
        <v>0</v>
      </c>
      <c r="E118" s="133">
        <v>0</v>
      </c>
      <c r="F118" s="133">
        <v>0</v>
      </c>
      <c r="G118" s="133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0</v>
      </c>
      <c r="M118" s="133">
        <v>0</v>
      </c>
      <c r="N118" s="133">
        <v>0</v>
      </c>
      <c r="O118" s="133">
        <v>0</v>
      </c>
      <c r="P118" s="133">
        <v>0</v>
      </c>
      <c r="Q118" s="133"/>
      <c r="R118" s="133">
        <f>SUM(B118:P118)</f>
        <v>0</v>
      </c>
    </row>
    <row r="119" spans="1:18" ht="13.5" customHeight="1" thickTop="1">
      <c r="A119" s="130" t="s">
        <v>38</v>
      </c>
      <c r="B119" s="112">
        <f>SUM(B14)</f>
        <v>0</v>
      </c>
      <c r="C119" s="100">
        <f>SUM(C23+C29+C34+C47+C55+C62+C77+C90+C101+C107++C113)</f>
        <v>0</v>
      </c>
      <c r="D119" s="192">
        <f>SUM(D62)</f>
        <v>0</v>
      </c>
      <c r="E119" s="192">
        <f>SUM(E23+E29+E34+E47+E55+E62+E77+E90+E101+E107+E113)</f>
        <v>0</v>
      </c>
      <c r="F119" s="192">
        <f>SUM(F62)</f>
        <v>0</v>
      </c>
      <c r="G119" s="192">
        <f>SUM(G29+G47+G55+G62+G77+G90+G101+G107+G113)</f>
        <v>0</v>
      </c>
      <c r="H119" s="192">
        <f>SUM(H47+H62+H113)</f>
        <v>0</v>
      </c>
      <c r="I119" s="192">
        <f>SUM(I47+I55+I62+I77+I90+I101+I107+I113)</f>
        <v>0</v>
      </c>
      <c r="J119" s="192">
        <f>SUM(J47+J55+J62+J77+J90+J101+J107+J113)</f>
        <v>0</v>
      </c>
      <c r="K119" s="192">
        <v>0</v>
      </c>
      <c r="L119" s="192">
        <f>SUM(L29+L34+L47+L55+L62+L77+L90+L101+L107+L113)</f>
        <v>0</v>
      </c>
      <c r="M119" s="192">
        <v>0</v>
      </c>
      <c r="N119" s="192">
        <f>SUM(N62)</f>
        <v>0</v>
      </c>
      <c r="O119" s="192">
        <f>SUM(O14+O23+O29+O34+O47+O55+O62+O77+O90+O101+O107+O113)</f>
        <v>0</v>
      </c>
      <c r="P119" s="192">
        <v>0</v>
      </c>
      <c r="Q119" s="192"/>
      <c r="R119" s="112">
        <f>SUM(B119:Q119)</f>
        <v>0</v>
      </c>
    </row>
    <row r="120" spans="1:18" ht="13.5" customHeight="1" thickBot="1">
      <c r="A120" s="131" t="s">
        <v>39</v>
      </c>
      <c r="B120" s="113">
        <v>0</v>
      </c>
      <c r="C120" s="133">
        <f>101900</f>
        <v>101900</v>
      </c>
      <c r="D120" s="133">
        <f>-30000</f>
        <v>-30000</v>
      </c>
      <c r="E120" s="133">
        <v>0</v>
      </c>
      <c r="F120" s="133">
        <v>0</v>
      </c>
      <c r="G120" s="133">
        <f>-70000</f>
        <v>-70000</v>
      </c>
      <c r="H120" s="133">
        <f>70000</f>
        <v>70000</v>
      </c>
      <c r="I120" s="133">
        <v>0</v>
      </c>
      <c r="J120" s="133">
        <f>-21900</f>
        <v>-21900</v>
      </c>
      <c r="K120" s="133">
        <v>0</v>
      </c>
      <c r="L120" s="133">
        <v>0</v>
      </c>
      <c r="M120" s="133">
        <v>0</v>
      </c>
      <c r="N120" s="133">
        <v>0</v>
      </c>
      <c r="O120" s="133">
        <f>-50000</f>
        <v>-50000</v>
      </c>
      <c r="P120" s="133">
        <v>0</v>
      </c>
      <c r="Q120" s="133"/>
      <c r="R120" s="113">
        <f>SUM(B120:Q120)</f>
        <v>0</v>
      </c>
    </row>
    <row r="121" ht="15" thickTop="1"/>
  </sheetData>
  <sheetProtection/>
  <mergeCells count="28">
    <mergeCell ref="A4:R4"/>
    <mergeCell ref="G6:H6"/>
    <mergeCell ref="P42:Q42"/>
    <mergeCell ref="B42:B43"/>
    <mergeCell ref="C42:E42"/>
    <mergeCell ref="I42:J42"/>
    <mergeCell ref="L42:M42"/>
    <mergeCell ref="G42:H42"/>
    <mergeCell ref="C82:E82"/>
    <mergeCell ref="I82:J82"/>
    <mergeCell ref="I6:J6"/>
    <mergeCell ref="L6:M6"/>
    <mergeCell ref="G82:H82"/>
    <mergeCell ref="A1:R1"/>
    <mergeCell ref="A2:R2"/>
    <mergeCell ref="N6:O6"/>
    <mergeCell ref="B6:B7"/>
    <mergeCell ref="C6:E6"/>
    <mergeCell ref="L82:M82"/>
    <mergeCell ref="N82:O82"/>
    <mergeCell ref="P6:Q6"/>
    <mergeCell ref="A3:R3"/>
    <mergeCell ref="P82:Q82"/>
    <mergeCell ref="B82:B83"/>
    <mergeCell ref="R6:R7"/>
    <mergeCell ref="R42:R43"/>
    <mergeCell ref="R82:R83"/>
    <mergeCell ref="N42:O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09">
      <selection activeCell="K110" sqref="K110"/>
    </sheetView>
  </sheetViews>
  <sheetFormatPr defaultColWidth="9.140625" defaultRowHeight="12.75"/>
  <cols>
    <col min="1" max="1" width="12.421875" style="108" customWidth="1"/>
    <col min="2" max="2" width="7.7109375" style="121" customWidth="1"/>
    <col min="3" max="3" width="7.57421875" style="121" customWidth="1"/>
    <col min="4" max="4" width="7.7109375" style="121" customWidth="1"/>
    <col min="5" max="6" width="7.421875" style="121" customWidth="1"/>
    <col min="7" max="7" width="7.57421875" style="121" customWidth="1"/>
    <col min="8" max="9" width="7.421875" style="121" customWidth="1"/>
    <col min="10" max="10" width="7.28125" style="121" customWidth="1"/>
    <col min="11" max="11" width="7.140625" style="121" customWidth="1"/>
    <col min="12" max="12" width="7.421875" style="121" customWidth="1"/>
    <col min="13" max="13" width="7.140625" style="121" customWidth="1"/>
    <col min="14" max="14" width="7.421875" style="121" customWidth="1"/>
    <col min="15" max="15" width="7.57421875" style="121" customWidth="1"/>
    <col min="16" max="16" width="7.421875" style="101" customWidth="1"/>
    <col min="17" max="17" width="7.57421875" style="101" customWidth="1"/>
    <col min="18" max="18" width="9.7109375" style="101" customWidth="1"/>
    <col min="19" max="16384" width="9.140625" style="102" customWidth="1"/>
  </cols>
  <sheetData>
    <row r="1" spans="1:18" ht="16.5">
      <c r="A1" s="322" t="s">
        <v>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16.5">
      <c r="A2" s="322" t="s">
        <v>499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 ht="16.5">
      <c r="A3" s="323" t="s">
        <v>534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="165" customFormat="1" ht="14.25">
      <c r="Q4" s="241"/>
    </row>
    <row r="5" spans="1:18" s="104" customFormat="1" ht="14.25">
      <c r="A5" s="105" t="s">
        <v>122</v>
      </c>
      <c r="B5" s="320" t="s">
        <v>99</v>
      </c>
      <c r="C5" s="321" t="s">
        <v>100</v>
      </c>
      <c r="D5" s="321"/>
      <c r="E5" s="321"/>
      <c r="F5" s="127" t="s">
        <v>101</v>
      </c>
      <c r="G5" s="321" t="s">
        <v>102</v>
      </c>
      <c r="H5" s="321"/>
      <c r="I5" s="321" t="s">
        <v>103</v>
      </c>
      <c r="J5" s="321"/>
      <c r="K5" s="127" t="s">
        <v>104</v>
      </c>
      <c r="L5" s="321" t="s">
        <v>105</v>
      </c>
      <c r="M5" s="321"/>
      <c r="N5" s="321" t="s">
        <v>106</v>
      </c>
      <c r="O5" s="321"/>
      <c r="P5" s="324" t="s">
        <v>120</v>
      </c>
      <c r="Q5" s="325"/>
      <c r="R5" s="318" t="s">
        <v>20</v>
      </c>
    </row>
    <row r="6" spans="1:18" s="104" customFormat="1" ht="14.25">
      <c r="A6" s="106" t="s">
        <v>123</v>
      </c>
      <c r="B6" s="320"/>
      <c r="C6" s="127" t="s">
        <v>107</v>
      </c>
      <c r="D6" s="127" t="s">
        <v>118</v>
      </c>
      <c r="E6" s="127" t="s">
        <v>108</v>
      </c>
      <c r="F6" s="127" t="s">
        <v>109</v>
      </c>
      <c r="G6" s="127" t="s">
        <v>110</v>
      </c>
      <c r="H6" s="127" t="s">
        <v>111</v>
      </c>
      <c r="I6" s="127" t="s">
        <v>112</v>
      </c>
      <c r="J6" s="127" t="s">
        <v>113</v>
      </c>
      <c r="K6" s="127" t="s">
        <v>119</v>
      </c>
      <c r="L6" s="127" t="s">
        <v>114</v>
      </c>
      <c r="M6" s="127" t="s">
        <v>115</v>
      </c>
      <c r="N6" s="127" t="s">
        <v>116</v>
      </c>
      <c r="O6" s="127" t="s">
        <v>117</v>
      </c>
      <c r="P6" s="127" t="s">
        <v>341</v>
      </c>
      <c r="Q6" s="242" t="s">
        <v>121</v>
      </c>
      <c r="R6" s="319"/>
    </row>
    <row r="7" spans="1:18" ht="14.25">
      <c r="A7" s="128" t="s">
        <v>271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14.25">
      <c r="A8" s="129" t="s">
        <v>272</v>
      </c>
      <c r="B8" s="107">
        <v>0</v>
      </c>
      <c r="C8" s="107"/>
      <c r="D8" s="107"/>
      <c r="E8" s="107" t="s">
        <v>269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>
        <f>SUM(B8:P8)</f>
        <v>0</v>
      </c>
    </row>
    <row r="9" spans="1:18" ht="14.25">
      <c r="A9" s="130" t="s">
        <v>273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SUM(B9:Q9)</f>
        <v>0</v>
      </c>
    </row>
    <row r="10" spans="1:18" ht="14.25">
      <c r="A10" s="130" t="s">
        <v>274</v>
      </c>
      <c r="B10" s="110">
        <v>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>
        <f>SUM(B10:P10)</f>
        <v>0</v>
      </c>
    </row>
    <row r="11" spans="1:18" ht="14.25">
      <c r="A11" s="130" t="s">
        <v>275</v>
      </c>
      <c r="B11" s="110">
        <v>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>
        <f>SUM(B11:P11)</f>
        <v>0</v>
      </c>
    </row>
    <row r="12" spans="1:18" ht="14.25">
      <c r="A12" s="130" t="s">
        <v>276</v>
      </c>
      <c r="B12" s="126">
        <v>0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>
        <f>SUM(B12:Q12)</f>
        <v>0</v>
      </c>
    </row>
    <row r="13" spans="1:18" ht="14.25">
      <c r="A13" s="130" t="s">
        <v>38</v>
      </c>
      <c r="B13" s="112">
        <f>SUM(B8:B12)</f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/>
      <c r="R13" s="112">
        <f>SUM(B13:Q13)</f>
        <v>0</v>
      </c>
    </row>
    <row r="14" spans="1:18" ht="15" thickBot="1">
      <c r="A14" s="131" t="s">
        <v>39</v>
      </c>
      <c r="B14" s="113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240"/>
      <c r="R14" s="113">
        <f>SUM(B14:P14)</f>
        <v>0</v>
      </c>
    </row>
    <row r="15" spans="1:18" ht="15" thickTop="1">
      <c r="A15" s="132" t="s">
        <v>277</v>
      </c>
      <c r="B15" s="114"/>
      <c r="C15" s="12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114"/>
      <c r="Q15" s="114"/>
      <c r="R15" s="115"/>
    </row>
    <row r="16" spans="1:18" ht="14.25">
      <c r="A16" s="130" t="s">
        <v>278</v>
      </c>
      <c r="B16" s="116"/>
      <c r="C16" s="110">
        <v>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0"/>
      <c r="P16" s="116"/>
      <c r="Q16" s="116"/>
      <c r="R16" s="110">
        <f aca="true" t="shared" si="0" ref="R16:R23">SUM(C16:P16)</f>
        <v>0</v>
      </c>
    </row>
    <row r="17" spans="1:18" ht="14.25">
      <c r="A17" s="129" t="s">
        <v>279</v>
      </c>
      <c r="B17" s="117"/>
      <c r="C17" s="117">
        <v>0</v>
      </c>
      <c r="D17" s="117"/>
      <c r="E17" s="117">
        <v>0</v>
      </c>
      <c r="F17" s="117"/>
      <c r="G17" s="117">
        <v>0</v>
      </c>
      <c r="H17" s="117"/>
      <c r="I17" s="117"/>
      <c r="J17" s="117"/>
      <c r="K17" s="117"/>
      <c r="L17" s="117">
        <v>0</v>
      </c>
      <c r="M17" s="117"/>
      <c r="N17" s="117"/>
      <c r="O17" s="107"/>
      <c r="P17" s="117"/>
      <c r="Q17" s="117"/>
      <c r="R17" s="107">
        <f t="shared" si="0"/>
        <v>0</v>
      </c>
    </row>
    <row r="18" spans="1:18" ht="14.25">
      <c r="A18" s="130" t="s">
        <v>280</v>
      </c>
      <c r="B18" s="116"/>
      <c r="C18" s="116">
        <v>0</v>
      </c>
      <c r="D18" s="116"/>
      <c r="E18" s="116">
        <v>0</v>
      </c>
      <c r="F18" s="116"/>
      <c r="G18" s="116">
        <v>0</v>
      </c>
      <c r="H18" s="116"/>
      <c r="I18" s="116"/>
      <c r="J18" s="116"/>
      <c r="K18" s="116"/>
      <c r="L18" s="116">
        <v>0</v>
      </c>
      <c r="M18" s="116"/>
      <c r="N18" s="116"/>
      <c r="O18" s="110"/>
      <c r="P18" s="116"/>
      <c r="Q18" s="116"/>
      <c r="R18" s="110">
        <f t="shared" si="0"/>
        <v>0</v>
      </c>
    </row>
    <row r="19" spans="1:18" ht="14.25">
      <c r="A19" s="130" t="s">
        <v>281</v>
      </c>
      <c r="B19" s="116"/>
      <c r="C19" s="110">
        <v>0</v>
      </c>
      <c r="D19" s="116"/>
      <c r="E19" s="116">
        <v>0</v>
      </c>
      <c r="F19" s="116"/>
      <c r="G19" s="116"/>
      <c r="H19" s="116"/>
      <c r="I19" s="116"/>
      <c r="J19" s="116"/>
      <c r="K19" s="116"/>
      <c r="L19" s="116">
        <v>0</v>
      </c>
      <c r="M19" s="116"/>
      <c r="N19" s="116"/>
      <c r="O19" s="110"/>
      <c r="P19" s="116"/>
      <c r="Q19" s="116"/>
      <c r="R19" s="110">
        <f t="shared" si="0"/>
        <v>0</v>
      </c>
    </row>
    <row r="20" spans="1:18" ht="14.25">
      <c r="A20" s="129" t="s">
        <v>282</v>
      </c>
      <c r="B20" s="117"/>
      <c r="C20" s="117">
        <v>0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07"/>
      <c r="P20" s="117"/>
      <c r="Q20" s="117"/>
      <c r="R20" s="107">
        <f t="shared" si="0"/>
        <v>0</v>
      </c>
    </row>
    <row r="21" spans="1:18" ht="14.25">
      <c r="A21" s="130" t="s">
        <v>283</v>
      </c>
      <c r="B21" s="116"/>
      <c r="C21" s="110">
        <v>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0"/>
      <c r="P21" s="116"/>
      <c r="Q21" s="116"/>
      <c r="R21" s="110">
        <f t="shared" si="0"/>
        <v>0</v>
      </c>
    </row>
    <row r="22" spans="1:18" ht="14.25">
      <c r="A22" s="130" t="s">
        <v>38</v>
      </c>
      <c r="B22" s="100"/>
      <c r="C22" s="119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/>
      <c r="R22" s="112">
        <f t="shared" si="0"/>
        <v>0</v>
      </c>
    </row>
    <row r="23" spans="1:18" ht="15" thickBot="1">
      <c r="A23" s="131" t="s">
        <v>39</v>
      </c>
      <c r="B23" s="133"/>
      <c r="C23" s="120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/>
      <c r="R23" s="113">
        <f t="shared" si="0"/>
        <v>0</v>
      </c>
    </row>
    <row r="24" spans="1:18" ht="15" thickTop="1">
      <c r="A24" s="129" t="s">
        <v>284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23"/>
      <c r="P24" s="117"/>
      <c r="Q24" s="117"/>
      <c r="R24" s="107"/>
    </row>
    <row r="25" spans="1:18" ht="14.25">
      <c r="A25" s="130" t="s">
        <v>285</v>
      </c>
      <c r="B25" s="116"/>
      <c r="C25" s="116">
        <v>0</v>
      </c>
      <c r="D25" s="116"/>
      <c r="E25" s="116">
        <v>0</v>
      </c>
      <c r="F25" s="116"/>
      <c r="G25" s="116">
        <v>0</v>
      </c>
      <c r="H25" s="116"/>
      <c r="I25" s="116"/>
      <c r="J25" s="116"/>
      <c r="K25" s="116"/>
      <c r="L25" s="116">
        <v>0</v>
      </c>
      <c r="M25" s="116"/>
      <c r="N25" s="116"/>
      <c r="O25" s="110"/>
      <c r="P25" s="116"/>
      <c r="Q25" s="116"/>
      <c r="R25" s="110">
        <f>SUM(C25:P25)</f>
        <v>0</v>
      </c>
    </row>
    <row r="26" spans="1:18" ht="14.25">
      <c r="A26" s="130" t="s">
        <v>286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0"/>
      <c r="P26" s="116"/>
      <c r="Q26" s="116"/>
      <c r="R26" s="110">
        <f>SUM(C26:P26)</f>
        <v>0</v>
      </c>
    </row>
    <row r="27" spans="1:18" ht="14.25">
      <c r="A27" s="129" t="s">
        <v>287</v>
      </c>
      <c r="B27" s="117"/>
      <c r="C27" s="117">
        <v>0</v>
      </c>
      <c r="D27" s="117"/>
      <c r="E27" s="117">
        <v>0</v>
      </c>
      <c r="F27" s="117"/>
      <c r="G27" s="117"/>
      <c r="H27" s="117"/>
      <c r="I27" s="117"/>
      <c r="J27" s="117"/>
      <c r="K27" s="117"/>
      <c r="L27" s="117">
        <v>0</v>
      </c>
      <c r="M27" s="117"/>
      <c r="N27" s="117"/>
      <c r="O27" s="107"/>
      <c r="P27" s="117"/>
      <c r="Q27" s="117"/>
      <c r="R27" s="107"/>
    </row>
    <row r="28" spans="1:18" ht="14.25">
      <c r="A28" s="130" t="s">
        <v>38</v>
      </c>
      <c r="B28" s="100"/>
      <c r="C28" s="119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/>
      <c r="R28" s="100">
        <f>SUM(C28:P28)</f>
        <v>0</v>
      </c>
    </row>
    <row r="29" spans="1:18" ht="15" thickBot="1">
      <c r="A29" s="131" t="s">
        <v>39</v>
      </c>
      <c r="B29" s="133"/>
      <c r="C29" s="120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/>
      <c r="R29" s="133">
        <f>SUM(C29:P29)</f>
        <v>0</v>
      </c>
    </row>
    <row r="30" spans="1:18" ht="15" thickTop="1">
      <c r="A30" s="129" t="s">
        <v>284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07"/>
      <c r="P30" s="117"/>
      <c r="Q30" s="117"/>
      <c r="R30" s="124"/>
    </row>
    <row r="31" spans="1:18" ht="14.25">
      <c r="A31" s="130" t="s">
        <v>288</v>
      </c>
      <c r="B31" s="116"/>
      <c r="C31" s="116">
        <v>0</v>
      </c>
      <c r="D31" s="116"/>
      <c r="E31" s="116">
        <v>0</v>
      </c>
      <c r="F31" s="116"/>
      <c r="G31" s="116">
        <v>0</v>
      </c>
      <c r="H31" s="116"/>
      <c r="I31" s="116">
        <v>0</v>
      </c>
      <c r="J31" s="116"/>
      <c r="K31" s="116"/>
      <c r="L31" s="116">
        <v>0</v>
      </c>
      <c r="M31" s="116"/>
      <c r="N31" s="116"/>
      <c r="O31" s="110"/>
      <c r="P31" s="116"/>
      <c r="Q31" s="116"/>
      <c r="R31" s="110">
        <f>SUM(C31:P31)</f>
        <v>0</v>
      </c>
    </row>
    <row r="32" spans="1:18" ht="14.25">
      <c r="A32" s="129" t="s">
        <v>289</v>
      </c>
      <c r="B32" s="118"/>
      <c r="C32" s="117">
        <v>0</v>
      </c>
      <c r="D32" s="117"/>
      <c r="E32" s="117">
        <v>0</v>
      </c>
      <c r="F32" s="117"/>
      <c r="G32" s="117">
        <v>0</v>
      </c>
      <c r="H32" s="117"/>
      <c r="I32" s="117">
        <v>0</v>
      </c>
      <c r="J32" s="117"/>
      <c r="K32" s="117"/>
      <c r="L32" s="117">
        <v>0</v>
      </c>
      <c r="M32" s="117"/>
      <c r="N32" s="117"/>
      <c r="O32" s="107"/>
      <c r="P32" s="117"/>
      <c r="Q32" s="117"/>
      <c r="R32" s="107">
        <f>SUM(C32:P32)</f>
        <v>0</v>
      </c>
    </row>
    <row r="33" spans="1:18" ht="14.25">
      <c r="A33" s="130" t="s">
        <v>38</v>
      </c>
      <c r="B33" s="100"/>
      <c r="C33" s="119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/>
      <c r="R33" s="112">
        <f>SUM(C33:P33)</f>
        <v>0</v>
      </c>
    </row>
    <row r="34" spans="1:18" ht="15" thickBot="1">
      <c r="A34" s="131" t="s">
        <v>39</v>
      </c>
      <c r="B34" s="133"/>
      <c r="C34" s="11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/>
      <c r="R34" s="113">
        <f>SUM(C34:P34)</f>
        <v>0</v>
      </c>
    </row>
    <row r="35" ht="15" thickTop="1">
      <c r="C35" s="230"/>
    </row>
    <row r="41" spans="1:18" s="104" customFormat="1" ht="14.25">
      <c r="A41" s="105" t="s">
        <v>122</v>
      </c>
      <c r="B41" s="320" t="s">
        <v>99</v>
      </c>
      <c r="C41" s="321" t="s">
        <v>100</v>
      </c>
      <c r="D41" s="321"/>
      <c r="E41" s="321"/>
      <c r="F41" s="127" t="s">
        <v>101</v>
      </c>
      <c r="G41" s="321" t="s">
        <v>102</v>
      </c>
      <c r="H41" s="321"/>
      <c r="I41" s="321" t="s">
        <v>103</v>
      </c>
      <c r="J41" s="321"/>
      <c r="K41" s="127" t="s">
        <v>104</v>
      </c>
      <c r="L41" s="321" t="s">
        <v>105</v>
      </c>
      <c r="M41" s="321"/>
      <c r="N41" s="321" t="s">
        <v>106</v>
      </c>
      <c r="O41" s="321"/>
      <c r="P41" s="324" t="s">
        <v>120</v>
      </c>
      <c r="Q41" s="325"/>
      <c r="R41" s="318" t="s">
        <v>20</v>
      </c>
    </row>
    <row r="42" spans="1:18" s="104" customFormat="1" ht="14.25">
      <c r="A42" s="106" t="s">
        <v>123</v>
      </c>
      <c r="B42" s="320"/>
      <c r="C42" s="127" t="s">
        <v>107</v>
      </c>
      <c r="D42" s="127" t="s">
        <v>118</v>
      </c>
      <c r="E42" s="127" t="s">
        <v>108</v>
      </c>
      <c r="F42" s="127" t="s">
        <v>109</v>
      </c>
      <c r="G42" s="127" t="s">
        <v>110</v>
      </c>
      <c r="H42" s="127" t="s">
        <v>111</v>
      </c>
      <c r="I42" s="127" t="s">
        <v>112</v>
      </c>
      <c r="J42" s="127" t="s">
        <v>113</v>
      </c>
      <c r="K42" s="127" t="s">
        <v>119</v>
      </c>
      <c r="L42" s="127" t="s">
        <v>114</v>
      </c>
      <c r="M42" s="127" t="s">
        <v>115</v>
      </c>
      <c r="N42" s="127" t="s">
        <v>116</v>
      </c>
      <c r="O42" s="127" t="s">
        <v>117</v>
      </c>
      <c r="P42" s="127" t="s">
        <v>341</v>
      </c>
      <c r="Q42" s="242" t="s">
        <v>121</v>
      </c>
      <c r="R42" s="319"/>
    </row>
    <row r="43" spans="1:18" ht="14.25">
      <c r="A43" s="132" t="s">
        <v>284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1:18" ht="14.25">
      <c r="A44" s="130" t="s">
        <v>290</v>
      </c>
      <c r="B44" s="110"/>
      <c r="C44" s="110">
        <v>0</v>
      </c>
      <c r="D44" s="110"/>
      <c r="E44" s="110">
        <v>0</v>
      </c>
      <c r="F44" s="110"/>
      <c r="G44" s="110">
        <v>0</v>
      </c>
      <c r="H44" s="110">
        <v>0</v>
      </c>
      <c r="I44" s="110">
        <v>0</v>
      </c>
      <c r="J44" s="110"/>
      <c r="K44" s="110"/>
      <c r="L44" s="110">
        <v>0</v>
      </c>
      <c r="M44" s="110"/>
      <c r="N44" s="110"/>
      <c r="O44" s="110"/>
      <c r="P44" s="110"/>
      <c r="Q44" s="110"/>
      <c r="R44" s="110">
        <f>SUM(C44:P44)</f>
        <v>0</v>
      </c>
    </row>
    <row r="45" spans="1:18" ht="14.25">
      <c r="A45" s="134" t="s">
        <v>291</v>
      </c>
      <c r="B45" s="107"/>
      <c r="C45" s="107">
        <v>0</v>
      </c>
      <c r="D45" s="107"/>
      <c r="E45" s="107">
        <v>0</v>
      </c>
      <c r="F45" s="107"/>
      <c r="G45" s="107"/>
      <c r="H45" s="107"/>
      <c r="I45" s="107"/>
      <c r="J45" s="107"/>
      <c r="K45" s="107"/>
      <c r="L45" s="107">
        <v>0</v>
      </c>
      <c r="M45" s="107"/>
      <c r="N45" s="107"/>
      <c r="O45" s="107"/>
      <c r="P45" s="107"/>
      <c r="Q45" s="107"/>
      <c r="R45" s="107">
        <f>SUM(C45:P45)</f>
        <v>0</v>
      </c>
    </row>
    <row r="46" spans="1:18" ht="14.25">
      <c r="A46" s="130" t="s">
        <v>38</v>
      </c>
      <c r="B46" s="100"/>
      <c r="C46" s="112">
        <v>0</v>
      </c>
      <c r="D46" s="100">
        <v>0</v>
      </c>
      <c r="E46" s="100">
        <v>0</v>
      </c>
      <c r="F46" s="100">
        <v>0</v>
      </c>
      <c r="G46" s="100">
        <f>SUM(G44)</f>
        <v>0</v>
      </c>
      <c r="H46" s="100">
        <f>SUM(H44:H45)</f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/>
      <c r="R46" s="100">
        <f>SUM(C46:P46)</f>
        <v>0</v>
      </c>
    </row>
    <row r="47" spans="1:18" ht="15" thickBot="1">
      <c r="A47" s="131" t="s">
        <v>39</v>
      </c>
      <c r="B47" s="133"/>
      <c r="C47" s="113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/>
      <c r="R47" s="100">
        <f>SUM(C47:P47)</f>
        <v>0</v>
      </c>
    </row>
    <row r="48" spans="1:18" ht="15" thickTop="1">
      <c r="A48" s="132" t="s">
        <v>292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P48" s="114"/>
      <c r="Q48" s="114"/>
      <c r="R48" s="115"/>
    </row>
    <row r="49" spans="1:18" ht="14.25">
      <c r="A49" s="130" t="s">
        <v>293</v>
      </c>
      <c r="B49" s="116"/>
      <c r="C49" s="116">
        <v>0</v>
      </c>
      <c r="D49" s="116"/>
      <c r="E49" s="116"/>
      <c r="F49" s="116"/>
      <c r="G49" s="116"/>
      <c r="H49" s="116"/>
      <c r="I49" s="116" t="s">
        <v>269</v>
      </c>
      <c r="J49" s="116"/>
      <c r="K49" s="116"/>
      <c r="L49" s="116">
        <v>0</v>
      </c>
      <c r="M49" s="116">
        <v>0</v>
      </c>
      <c r="N49" s="116"/>
      <c r="O49" s="110"/>
      <c r="P49" s="116"/>
      <c r="Q49" s="116"/>
      <c r="R49" s="110">
        <f aca="true" t="shared" si="1" ref="R49:R55">SUM(C49:P49)</f>
        <v>0</v>
      </c>
    </row>
    <row r="50" spans="1:18" ht="14.25">
      <c r="A50" s="129" t="s">
        <v>294</v>
      </c>
      <c r="B50" s="117"/>
      <c r="C50" s="117">
        <v>0</v>
      </c>
      <c r="D50" s="117"/>
      <c r="E50" s="117">
        <v>0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07"/>
      <c r="P50" s="117"/>
      <c r="Q50" s="117"/>
      <c r="R50" s="107">
        <f t="shared" si="1"/>
        <v>0</v>
      </c>
    </row>
    <row r="51" spans="1:18" ht="14.25">
      <c r="A51" s="130" t="s">
        <v>295</v>
      </c>
      <c r="B51" s="116"/>
      <c r="C51" s="116">
        <v>0</v>
      </c>
      <c r="D51" s="116"/>
      <c r="E51" s="116">
        <v>0</v>
      </c>
      <c r="F51" s="116"/>
      <c r="G51" s="116">
        <v>0</v>
      </c>
      <c r="H51" s="116"/>
      <c r="I51" s="116"/>
      <c r="J51" s="116"/>
      <c r="K51" s="116"/>
      <c r="L51" s="116">
        <v>0</v>
      </c>
      <c r="M51" s="116"/>
      <c r="N51" s="116"/>
      <c r="O51" s="110"/>
      <c r="P51" s="116"/>
      <c r="Q51" s="116"/>
      <c r="R51" s="110">
        <f>SUM(C51:Q51)</f>
        <v>0</v>
      </c>
    </row>
    <row r="52" spans="1:18" ht="14.25">
      <c r="A52" s="130" t="s">
        <v>296</v>
      </c>
      <c r="B52" s="116"/>
      <c r="C52" s="116">
        <v>0</v>
      </c>
      <c r="D52" s="116"/>
      <c r="E52" s="116"/>
      <c r="F52" s="116">
        <v>0</v>
      </c>
      <c r="G52" s="116">
        <v>0</v>
      </c>
      <c r="H52" s="116"/>
      <c r="I52" s="116"/>
      <c r="J52" s="116"/>
      <c r="K52" s="116"/>
      <c r="L52" s="116">
        <v>0</v>
      </c>
      <c r="M52" s="116"/>
      <c r="N52" s="233"/>
      <c r="O52" s="110"/>
      <c r="P52" s="116"/>
      <c r="Q52" s="116"/>
      <c r="R52" s="110">
        <f t="shared" si="1"/>
        <v>0</v>
      </c>
    </row>
    <row r="53" spans="1:18" ht="14.25">
      <c r="A53" s="166" t="s">
        <v>297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234"/>
      <c r="O53" s="111"/>
      <c r="P53" s="118"/>
      <c r="Q53" s="118"/>
      <c r="R53" s="126"/>
    </row>
    <row r="54" spans="1:18" ht="14.25">
      <c r="A54" s="130" t="s">
        <v>38</v>
      </c>
      <c r="B54" s="100"/>
      <c r="C54" s="119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f>SUM(M49:M52)</f>
        <v>0</v>
      </c>
      <c r="N54" s="100">
        <v>0</v>
      </c>
      <c r="O54" s="100">
        <v>0</v>
      </c>
      <c r="P54" s="100">
        <v>0</v>
      </c>
      <c r="Q54" s="100"/>
      <c r="R54" s="112">
        <f t="shared" si="1"/>
        <v>0</v>
      </c>
    </row>
    <row r="55" spans="1:18" ht="15" thickBot="1">
      <c r="A55" s="131" t="s">
        <v>39</v>
      </c>
      <c r="B55" s="133"/>
      <c r="C55" s="120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00">
        <v>0</v>
      </c>
      <c r="P55" s="133">
        <v>0</v>
      </c>
      <c r="Q55" s="133"/>
      <c r="R55" s="113">
        <f t="shared" si="1"/>
        <v>0</v>
      </c>
    </row>
    <row r="56" spans="1:18" ht="15" thickTop="1">
      <c r="A56" s="134" t="s">
        <v>298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3"/>
      <c r="O56" s="124"/>
      <c r="P56" s="123"/>
      <c r="Q56" s="123"/>
      <c r="R56" s="124"/>
    </row>
    <row r="57" spans="1:18" ht="14.25">
      <c r="A57" s="134" t="s">
        <v>299</v>
      </c>
      <c r="B57" s="266" t="s">
        <v>481</v>
      </c>
      <c r="C57" s="122">
        <v>0</v>
      </c>
      <c r="D57" s="122"/>
      <c r="E57" s="122">
        <v>0</v>
      </c>
      <c r="F57" s="122"/>
      <c r="G57" s="122">
        <v>0</v>
      </c>
      <c r="H57" s="122"/>
      <c r="I57" s="122"/>
      <c r="J57" s="122"/>
      <c r="K57" s="122"/>
      <c r="L57" s="122"/>
      <c r="M57" s="122"/>
      <c r="N57" s="122"/>
      <c r="O57" s="123"/>
      <c r="P57" s="122"/>
      <c r="Q57" s="122"/>
      <c r="R57" s="123">
        <f>SUM(C57:P57)</f>
        <v>0</v>
      </c>
    </row>
    <row r="58" spans="1:18" ht="14.25">
      <c r="A58" s="130" t="s">
        <v>300</v>
      </c>
      <c r="B58" s="116"/>
      <c r="C58" s="116">
        <v>0</v>
      </c>
      <c r="D58" s="116"/>
      <c r="E58" s="116" t="s">
        <v>496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0"/>
      <c r="P58" s="116"/>
      <c r="Q58" s="116"/>
      <c r="R58" s="110">
        <f>SUM(C58:Q58)</f>
        <v>0</v>
      </c>
    </row>
    <row r="59" spans="1:18" ht="14.25">
      <c r="A59" s="134" t="s">
        <v>301</v>
      </c>
      <c r="B59" s="116"/>
      <c r="C59" s="116">
        <v>0</v>
      </c>
      <c r="D59" s="116"/>
      <c r="E59" s="116">
        <v>0</v>
      </c>
      <c r="F59" s="116">
        <v>0</v>
      </c>
      <c r="G59" s="116">
        <v>0</v>
      </c>
      <c r="H59" s="116">
        <v>0</v>
      </c>
      <c r="I59" s="116"/>
      <c r="J59" s="116">
        <v>0</v>
      </c>
      <c r="K59" s="116"/>
      <c r="L59" s="116"/>
      <c r="M59" s="116"/>
      <c r="N59" s="116">
        <v>0</v>
      </c>
      <c r="O59" s="110">
        <v>0</v>
      </c>
      <c r="P59" s="116"/>
      <c r="Q59" s="116"/>
      <c r="R59" s="110">
        <f>SUM(C59:Q59)</f>
        <v>0</v>
      </c>
    </row>
    <row r="60" spans="1:18" ht="14.25">
      <c r="A60" s="134" t="s">
        <v>302</v>
      </c>
      <c r="B60" s="116"/>
      <c r="C60" s="116">
        <v>0</v>
      </c>
      <c r="D60" s="116"/>
      <c r="E60" s="116">
        <v>0</v>
      </c>
      <c r="F60" s="116"/>
      <c r="G60" s="116">
        <v>0</v>
      </c>
      <c r="H60" s="116"/>
      <c r="I60" s="116"/>
      <c r="J60" s="116"/>
      <c r="K60" s="116"/>
      <c r="L60" s="116">
        <v>0</v>
      </c>
      <c r="M60" s="116"/>
      <c r="N60" s="116"/>
      <c r="O60" s="110"/>
      <c r="P60" s="116"/>
      <c r="Q60" s="116"/>
      <c r="R60" s="110">
        <f>SUM(C60:Q60)</f>
        <v>0</v>
      </c>
    </row>
    <row r="61" spans="1:18" ht="14.25">
      <c r="A61" s="130" t="s">
        <v>38</v>
      </c>
      <c r="B61" s="100"/>
      <c r="C61" s="119">
        <v>0</v>
      </c>
      <c r="D61" s="100">
        <v>0</v>
      </c>
      <c r="E61" s="100">
        <f>SUM(E59:E60)</f>
        <v>0</v>
      </c>
      <c r="F61" s="100">
        <f>SUM(F59)</f>
        <v>0</v>
      </c>
      <c r="G61" s="100">
        <f>SUM(G57)</f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f>SUM(L57:L60)</f>
        <v>0</v>
      </c>
      <c r="M61" s="100">
        <v>0</v>
      </c>
      <c r="N61" s="100">
        <v>0</v>
      </c>
      <c r="O61" s="100">
        <f>SUM(O57:O60)</f>
        <v>0</v>
      </c>
      <c r="P61" s="100">
        <v>0</v>
      </c>
      <c r="Q61" s="100"/>
      <c r="R61" s="112">
        <f>SUM(C61:P61)</f>
        <v>0</v>
      </c>
    </row>
    <row r="62" spans="1:18" ht="15" thickBot="1">
      <c r="A62" s="131" t="s">
        <v>39</v>
      </c>
      <c r="B62" s="133"/>
      <c r="C62" s="120">
        <v>0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f>SUM(L61)</f>
        <v>0</v>
      </c>
      <c r="M62" s="133">
        <v>0</v>
      </c>
      <c r="N62" s="133">
        <v>0</v>
      </c>
      <c r="O62" s="133">
        <v>0</v>
      </c>
      <c r="P62" s="133">
        <v>0</v>
      </c>
      <c r="Q62" s="133"/>
      <c r="R62" s="113">
        <f>SUM(C62:Q62)</f>
        <v>0</v>
      </c>
    </row>
    <row r="63" spans="1:18" ht="15" thickTop="1">
      <c r="A63" s="134" t="s">
        <v>303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3"/>
      <c r="O63" s="124"/>
      <c r="P63" s="123"/>
      <c r="Q63" s="123"/>
      <c r="R63" s="124"/>
    </row>
    <row r="64" spans="1:18" ht="14.25">
      <c r="A64" s="134" t="s">
        <v>304</v>
      </c>
      <c r="B64" s="122"/>
      <c r="C64" s="122">
        <v>0</v>
      </c>
      <c r="D64" s="122"/>
      <c r="E64" s="122">
        <v>0</v>
      </c>
      <c r="F64" s="122"/>
      <c r="G64" s="122">
        <v>0</v>
      </c>
      <c r="H64" s="122"/>
      <c r="I64" s="122"/>
      <c r="J64" s="122"/>
      <c r="K64" s="122"/>
      <c r="L64" s="122"/>
      <c r="M64" s="122"/>
      <c r="N64" s="122"/>
      <c r="O64" s="123"/>
      <c r="P64" s="122"/>
      <c r="Q64" s="122"/>
      <c r="R64" s="123">
        <f>SUM(C64:P64)</f>
        <v>0</v>
      </c>
    </row>
    <row r="65" spans="1:18" ht="14.25">
      <c r="A65" s="130" t="s">
        <v>305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0"/>
      <c r="P65" s="116"/>
      <c r="Q65" s="116"/>
      <c r="R65" s="110"/>
    </row>
    <row r="66" spans="1:18" ht="14.25">
      <c r="A66" s="134" t="s">
        <v>306</v>
      </c>
      <c r="B66" s="116"/>
      <c r="C66" s="116"/>
      <c r="D66" s="116"/>
      <c r="E66" s="116">
        <v>0</v>
      </c>
      <c r="F66" s="116"/>
      <c r="G66" s="116"/>
      <c r="H66" s="116">
        <v>0</v>
      </c>
      <c r="I66" s="116"/>
      <c r="J66" s="116"/>
      <c r="K66" s="116"/>
      <c r="L66" s="116"/>
      <c r="M66" s="116"/>
      <c r="N66" s="116"/>
      <c r="O66" s="110"/>
      <c r="P66" s="116"/>
      <c r="Q66" s="116"/>
      <c r="R66" s="110">
        <f>SUM(C66:P66)</f>
        <v>0</v>
      </c>
    </row>
    <row r="67" spans="1:18" ht="14.25">
      <c r="A67" s="134" t="s">
        <v>307</v>
      </c>
      <c r="B67" s="116"/>
      <c r="C67" s="116"/>
      <c r="D67" s="116"/>
      <c r="E67" s="116"/>
      <c r="F67" s="116"/>
      <c r="G67" s="116"/>
      <c r="H67" s="116">
        <v>0</v>
      </c>
      <c r="I67" s="116"/>
      <c r="J67" s="116"/>
      <c r="K67" s="116"/>
      <c r="L67" s="116"/>
      <c r="M67" s="116"/>
      <c r="N67" s="116"/>
      <c r="O67" s="110"/>
      <c r="P67" s="116"/>
      <c r="Q67" s="116"/>
      <c r="R67" s="110">
        <f>SUM(H67:Q67)</f>
        <v>0</v>
      </c>
    </row>
    <row r="68" spans="1:18" ht="14.25">
      <c r="A68" s="134" t="s">
        <v>308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0"/>
      <c r="P68" s="116"/>
      <c r="Q68" s="116"/>
      <c r="R68" s="110"/>
    </row>
    <row r="69" spans="1:18" ht="14.25">
      <c r="A69" s="134" t="s">
        <v>309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>
        <v>0</v>
      </c>
      <c r="M69" s="116"/>
      <c r="N69" s="116"/>
      <c r="O69" s="110"/>
      <c r="P69" s="116"/>
      <c r="Q69" s="116"/>
      <c r="R69" s="110">
        <f>SUM(L69:Q69)</f>
        <v>0</v>
      </c>
    </row>
    <row r="70" spans="1:18" ht="14.25">
      <c r="A70" s="134" t="s">
        <v>310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0"/>
      <c r="P70" s="116"/>
      <c r="Q70" s="116"/>
      <c r="R70" s="110"/>
    </row>
    <row r="71" spans="1:18" ht="14.25">
      <c r="A71" s="134" t="s">
        <v>311</v>
      </c>
      <c r="B71" s="116"/>
      <c r="C71" s="116">
        <v>0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0"/>
      <c r="P71" s="116"/>
      <c r="Q71" s="116"/>
      <c r="R71" s="110">
        <f>SUM(C71:Q71)</f>
        <v>0</v>
      </c>
    </row>
    <row r="72" spans="1:18" ht="14.25">
      <c r="A72" s="134" t="s">
        <v>312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0"/>
      <c r="P72" s="116"/>
      <c r="Q72" s="116"/>
      <c r="R72" s="110">
        <v>0</v>
      </c>
    </row>
    <row r="73" spans="1:18" ht="14.25">
      <c r="A73" s="134" t="s">
        <v>313</v>
      </c>
      <c r="B73" s="116"/>
      <c r="C73" s="116">
        <v>0</v>
      </c>
      <c r="D73" s="116"/>
      <c r="E73" s="116">
        <v>0</v>
      </c>
      <c r="F73" s="116"/>
      <c r="G73" s="116"/>
      <c r="H73" s="116"/>
      <c r="I73" s="116"/>
      <c r="J73" s="116"/>
      <c r="K73" s="116"/>
      <c r="L73" s="116">
        <v>0</v>
      </c>
      <c r="M73" s="116"/>
      <c r="N73" s="116"/>
      <c r="O73" s="110"/>
      <c r="P73" s="116"/>
      <c r="Q73" s="116"/>
      <c r="R73" s="110">
        <f>SUM(C73:E73)</f>
        <v>0</v>
      </c>
    </row>
    <row r="74" spans="1:18" ht="14.25">
      <c r="A74" s="134" t="s">
        <v>314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0"/>
      <c r="P74" s="116"/>
      <c r="Q74" s="116"/>
      <c r="R74" s="110"/>
    </row>
    <row r="75" spans="1:18" ht="14.25">
      <c r="A75" s="134" t="s">
        <v>315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0"/>
      <c r="P75" s="116"/>
      <c r="Q75" s="116"/>
      <c r="R75" s="110"/>
    </row>
    <row r="76" spans="1:18" ht="14.25">
      <c r="A76" s="130" t="s">
        <v>38</v>
      </c>
      <c r="B76" s="100"/>
      <c r="C76" s="119">
        <f>SUM(C64:C75)</f>
        <v>0</v>
      </c>
      <c r="D76" s="100">
        <f>SUM(D66:D75)</f>
        <v>0</v>
      </c>
      <c r="E76" s="100">
        <f>SUM(E64:E75)</f>
        <v>0</v>
      </c>
      <c r="F76" s="100">
        <v>0</v>
      </c>
      <c r="G76" s="100">
        <f>SUM(G64)</f>
        <v>0</v>
      </c>
      <c r="H76" s="100">
        <f>SUM(H64:H75)</f>
        <v>0</v>
      </c>
      <c r="I76" s="100">
        <v>0</v>
      </c>
      <c r="J76" s="100">
        <v>0</v>
      </c>
      <c r="K76" s="100">
        <v>0</v>
      </c>
      <c r="L76" s="100">
        <f>SUM(L65:L75)</f>
        <v>0</v>
      </c>
      <c r="M76" s="100">
        <v>0</v>
      </c>
      <c r="N76" s="100">
        <v>0</v>
      </c>
      <c r="O76" s="100">
        <v>0</v>
      </c>
      <c r="P76" s="100">
        <v>0</v>
      </c>
      <c r="Q76" s="100"/>
      <c r="R76" s="112">
        <f>SUM(R64:R75)</f>
        <v>0</v>
      </c>
    </row>
    <row r="77" spans="1:18" ht="15" thickBot="1">
      <c r="A77" s="131" t="s">
        <v>39</v>
      </c>
      <c r="B77" s="133"/>
      <c r="C77" s="120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/>
      <c r="R77" s="113">
        <f>SUM(C77:Q77)</f>
        <v>0</v>
      </c>
    </row>
    <row r="78" ht="15" thickTop="1"/>
    <row r="81" spans="1:18" s="104" customFormat="1" ht="13.5" customHeight="1">
      <c r="A81" s="105" t="s">
        <v>122</v>
      </c>
      <c r="B81" s="320" t="s">
        <v>99</v>
      </c>
      <c r="C81" s="321" t="s">
        <v>100</v>
      </c>
      <c r="D81" s="321"/>
      <c r="E81" s="321"/>
      <c r="F81" s="127" t="s">
        <v>101</v>
      </c>
      <c r="G81" s="321" t="s">
        <v>102</v>
      </c>
      <c r="H81" s="321"/>
      <c r="I81" s="321" t="s">
        <v>103</v>
      </c>
      <c r="J81" s="321"/>
      <c r="K81" s="127" t="s">
        <v>104</v>
      </c>
      <c r="L81" s="321" t="s">
        <v>105</v>
      </c>
      <c r="M81" s="321"/>
      <c r="N81" s="321" t="s">
        <v>106</v>
      </c>
      <c r="O81" s="321"/>
      <c r="P81" s="324" t="s">
        <v>120</v>
      </c>
      <c r="Q81" s="325"/>
      <c r="R81" s="318" t="s">
        <v>20</v>
      </c>
    </row>
    <row r="82" spans="1:18" s="104" customFormat="1" ht="13.5" customHeight="1">
      <c r="A82" s="106" t="s">
        <v>123</v>
      </c>
      <c r="B82" s="320"/>
      <c r="C82" s="127" t="s">
        <v>107</v>
      </c>
      <c r="D82" s="127" t="s">
        <v>118</v>
      </c>
      <c r="E82" s="127" t="s">
        <v>108</v>
      </c>
      <c r="F82" s="127" t="s">
        <v>109</v>
      </c>
      <c r="G82" s="127" t="s">
        <v>110</v>
      </c>
      <c r="H82" s="127" t="s">
        <v>111</v>
      </c>
      <c r="I82" s="127" t="s">
        <v>112</v>
      </c>
      <c r="J82" s="127" t="s">
        <v>113</v>
      </c>
      <c r="K82" s="127" t="s">
        <v>119</v>
      </c>
      <c r="L82" s="127" t="s">
        <v>114</v>
      </c>
      <c r="M82" s="127" t="s">
        <v>115</v>
      </c>
      <c r="N82" s="127" t="s">
        <v>116</v>
      </c>
      <c r="O82" s="127" t="s">
        <v>117</v>
      </c>
      <c r="P82" s="127" t="s">
        <v>341</v>
      </c>
      <c r="Q82" s="242" t="s">
        <v>121</v>
      </c>
      <c r="R82" s="319"/>
    </row>
    <row r="83" spans="1:18" ht="13.5" customHeight="1">
      <c r="A83" s="132" t="s">
        <v>316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</row>
    <row r="84" spans="1:18" ht="13.5" customHeight="1">
      <c r="A84" s="134" t="s">
        <v>317</v>
      </c>
      <c r="B84" s="107"/>
      <c r="C84" s="107">
        <v>0</v>
      </c>
      <c r="D84" s="107"/>
      <c r="E84" s="107"/>
      <c r="F84" s="107"/>
      <c r="G84" s="107">
        <v>0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>
        <f>SUM(C84:P84)</f>
        <v>0</v>
      </c>
    </row>
    <row r="85" spans="1:18" ht="13.5" customHeight="1">
      <c r="A85" s="130" t="s">
        <v>318</v>
      </c>
      <c r="B85" s="110"/>
      <c r="C85" s="110">
        <v>0</v>
      </c>
      <c r="D85" s="110"/>
      <c r="E85" s="110"/>
      <c r="F85" s="110"/>
      <c r="G85" s="110"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0</v>
      </c>
    </row>
    <row r="86" spans="1:18" ht="13.5" customHeight="1">
      <c r="A86" s="130" t="s">
        <v>319</v>
      </c>
      <c r="B86" s="110"/>
      <c r="C86" s="110">
        <v>0</v>
      </c>
      <c r="D86" s="110"/>
      <c r="E86" s="110"/>
      <c r="F86" s="110"/>
      <c r="G86" s="110">
        <v>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>
        <f>SUM(C86:P86)</f>
        <v>0</v>
      </c>
    </row>
    <row r="87" spans="1:18" ht="13.5" customHeight="1">
      <c r="A87" s="129" t="s">
        <v>320</v>
      </c>
      <c r="B87" s="110"/>
      <c r="C87" s="110">
        <v>0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1:18" ht="13.5" customHeight="1">
      <c r="A88" s="130" t="s">
        <v>321</v>
      </c>
      <c r="B88" s="111"/>
      <c r="C88" s="111">
        <v>0</v>
      </c>
      <c r="D88" s="111"/>
      <c r="E88" s="111"/>
      <c r="F88" s="111"/>
      <c r="G88" s="111">
        <v>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>
        <f>SUM(C88:P88)</f>
        <v>0</v>
      </c>
    </row>
    <row r="89" spans="1:18" ht="13.5" customHeight="1">
      <c r="A89" s="130" t="s">
        <v>38</v>
      </c>
      <c r="B89" s="100"/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100"/>
      <c r="R89" s="112">
        <f>SUM(C89:P89)</f>
        <v>0</v>
      </c>
    </row>
    <row r="90" spans="1:18" ht="13.5" customHeight="1" thickBot="1">
      <c r="A90" s="131" t="s">
        <v>39</v>
      </c>
      <c r="B90" s="100"/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240"/>
      <c r="R90" s="113">
        <f>SUM(C90:P90)</f>
        <v>0</v>
      </c>
    </row>
    <row r="91" spans="1:18" ht="13.5" customHeight="1" thickTop="1">
      <c r="A91" s="132" t="s">
        <v>322</v>
      </c>
      <c r="B91" s="114"/>
      <c r="C91" s="114"/>
      <c r="D91" s="114"/>
      <c r="E91" s="114"/>
      <c r="F91" s="114"/>
      <c r="G91" s="114"/>
      <c r="H91" s="114"/>
      <c r="I91" s="114"/>
      <c r="J91" s="124"/>
      <c r="K91" s="114"/>
      <c r="L91" s="114"/>
      <c r="M91" s="114"/>
      <c r="N91" s="114"/>
      <c r="O91" s="115"/>
      <c r="P91" s="114"/>
      <c r="Q91" s="114"/>
      <c r="R91" s="115"/>
    </row>
    <row r="92" spans="1:18" ht="13.5" customHeight="1">
      <c r="A92" s="130" t="s">
        <v>323</v>
      </c>
      <c r="B92" s="116"/>
      <c r="C92" s="116"/>
      <c r="D92" s="116"/>
      <c r="E92" s="116"/>
      <c r="F92" s="116"/>
      <c r="G92" s="116"/>
      <c r="H92" s="116"/>
      <c r="I92" s="116"/>
      <c r="J92" s="122"/>
      <c r="K92" s="116"/>
      <c r="L92" s="116"/>
      <c r="M92" s="116"/>
      <c r="N92" s="116"/>
      <c r="O92" s="110"/>
      <c r="P92" s="116"/>
      <c r="Q92" s="116"/>
      <c r="R92" s="110"/>
    </row>
    <row r="93" spans="1:18" ht="13.5" customHeight="1">
      <c r="A93" s="130" t="s">
        <v>324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0"/>
      <c r="P93" s="116"/>
      <c r="Q93" s="116"/>
      <c r="R93" s="110"/>
    </row>
    <row r="94" spans="1:18" ht="13.5" customHeight="1">
      <c r="A94" s="130" t="s">
        <v>325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0"/>
      <c r="P94" s="116"/>
      <c r="Q94" s="116"/>
      <c r="R94" s="110"/>
    </row>
    <row r="95" spans="1:18" ht="13.5" customHeight="1">
      <c r="A95" s="130" t="s">
        <v>326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0"/>
      <c r="P95" s="116"/>
      <c r="Q95" s="116"/>
      <c r="R95" s="110"/>
    </row>
    <row r="96" spans="1:18" ht="13.5" customHeight="1">
      <c r="A96" s="130" t="s">
        <v>327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0"/>
      <c r="P96" s="116"/>
      <c r="Q96" s="116"/>
      <c r="R96" s="110"/>
    </row>
    <row r="97" spans="1:18" ht="13.5" customHeight="1">
      <c r="A97" s="134" t="s">
        <v>328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3"/>
      <c r="P97" s="122"/>
      <c r="Q97" s="122"/>
      <c r="R97" s="123"/>
    </row>
    <row r="98" spans="1:18" ht="13.5" customHeight="1">
      <c r="A98" s="130" t="s">
        <v>329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0"/>
      <c r="P98" s="116"/>
      <c r="Q98" s="116"/>
      <c r="R98" s="110"/>
    </row>
    <row r="99" spans="1:18" ht="13.5" customHeight="1">
      <c r="A99" s="134" t="s">
        <v>330</v>
      </c>
      <c r="B99" s="117"/>
      <c r="C99" s="117">
        <v>0</v>
      </c>
      <c r="D99" s="117"/>
      <c r="E99" s="117"/>
      <c r="F99" s="117"/>
      <c r="G99" s="117">
        <v>0</v>
      </c>
      <c r="H99" s="193"/>
      <c r="I99" s="117"/>
      <c r="J99" s="117"/>
      <c r="K99" s="117"/>
      <c r="L99" s="117"/>
      <c r="M99" s="117"/>
      <c r="N99" s="117"/>
      <c r="O99" s="107"/>
      <c r="P99" s="117"/>
      <c r="Q99" s="117"/>
      <c r="R99" s="264">
        <f>SUM(C99)</f>
        <v>0</v>
      </c>
    </row>
    <row r="100" spans="1:18" ht="13.5" customHeight="1">
      <c r="A100" s="130" t="s">
        <v>38</v>
      </c>
      <c r="B100" s="100"/>
      <c r="C100" s="100">
        <f>SUM(C99)</f>
        <v>0</v>
      </c>
      <c r="D100" s="100">
        <v>0</v>
      </c>
      <c r="E100" s="100">
        <v>0</v>
      </c>
      <c r="F100" s="100">
        <v>0</v>
      </c>
      <c r="G100" s="112">
        <f>SUM(G99)</f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</v>
      </c>
      <c r="P100" s="100">
        <v>0</v>
      </c>
      <c r="Q100" s="100"/>
      <c r="R100" s="112">
        <f>SUM(C100)</f>
        <v>0</v>
      </c>
    </row>
    <row r="101" spans="1:18" ht="13.5" customHeight="1" thickBot="1">
      <c r="A101" s="131" t="s">
        <v>39</v>
      </c>
      <c r="B101" s="133"/>
      <c r="C101" s="133">
        <v>0</v>
      </c>
      <c r="D101" s="133">
        <v>0</v>
      </c>
      <c r="E101" s="133">
        <v>0</v>
      </c>
      <c r="F101" s="133">
        <v>0</v>
      </c>
      <c r="G101" s="133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  <c r="M101" s="133">
        <v>0</v>
      </c>
      <c r="N101" s="133">
        <v>0</v>
      </c>
      <c r="O101" s="133">
        <v>0</v>
      </c>
      <c r="P101" s="133">
        <v>0</v>
      </c>
      <c r="Q101" s="133"/>
      <c r="R101" s="113">
        <f>SUM(C101:Q101)</f>
        <v>0</v>
      </c>
    </row>
    <row r="102" spans="1:18" ht="13.5" customHeight="1" thickTop="1">
      <c r="A102" s="134" t="s">
        <v>331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3"/>
      <c r="O102" s="123"/>
      <c r="P102" s="123"/>
      <c r="Q102" s="123"/>
      <c r="R102" s="124"/>
    </row>
    <row r="103" spans="1:18" ht="13.5" customHeight="1">
      <c r="A103" s="134" t="s">
        <v>332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3"/>
      <c r="P103" s="122"/>
      <c r="Q103" s="122"/>
      <c r="R103" s="123"/>
    </row>
    <row r="104" spans="1:18" ht="13.5" customHeight="1">
      <c r="A104" s="134" t="s">
        <v>333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3"/>
      <c r="P104" s="122"/>
      <c r="Q104" s="122"/>
      <c r="R104" s="123"/>
    </row>
    <row r="105" spans="1:18" ht="13.5" customHeight="1">
      <c r="A105" s="130" t="s">
        <v>334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0"/>
      <c r="P105" s="116"/>
      <c r="Q105" s="116">
        <v>118000</v>
      </c>
      <c r="R105" s="110">
        <f>SUM(Q105)</f>
        <v>118000</v>
      </c>
    </row>
    <row r="106" spans="1:18" ht="13.5" customHeight="1">
      <c r="A106" s="130" t="s">
        <v>38</v>
      </c>
      <c r="B106" s="100"/>
      <c r="C106" s="100">
        <f>SUM(C104:C105)</f>
        <v>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100">
        <v>0</v>
      </c>
      <c r="P106" s="100">
        <v>0</v>
      </c>
      <c r="Q106" s="100">
        <f>SUM(Q105)</f>
        <v>118000</v>
      </c>
      <c r="R106" s="100">
        <f>SUM(D106:Q106)</f>
        <v>118000</v>
      </c>
    </row>
    <row r="107" spans="1:18" ht="13.5" customHeight="1" thickBot="1">
      <c r="A107" s="131" t="s">
        <v>39</v>
      </c>
      <c r="B107" s="133"/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f>99180+2342000+369000</f>
        <v>2810180</v>
      </c>
      <c r="R107" s="113">
        <f>SUM(Q107)</f>
        <v>2810180</v>
      </c>
    </row>
    <row r="108" spans="1:18" ht="13.5" customHeight="1" thickTop="1">
      <c r="A108" s="134" t="s">
        <v>335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3"/>
      <c r="N108" s="122"/>
      <c r="O108" s="124"/>
      <c r="P108" s="122"/>
      <c r="Q108" s="122"/>
      <c r="R108" s="110"/>
    </row>
    <row r="109" spans="1:18" ht="13.5" customHeight="1">
      <c r="A109" s="134" t="s">
        <v>336</v>
      </c>
      <c r="B109" s="110"/>
      <c r="C109" s="116">
        <v>0</v>
      </c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0"/>
      <c r="P109" s="116"/>
      <c r="Q109" s="116"/>
      <c r="R109" s="110">
        <f>SUM(C109:Q109)</f>
        <v>0</v>
      </c>
    </row>
    <row r="110" spans="1:18" ht="13.5" customHeight="1">
      <c r="A110" s="134" t="s">
        <v>337</v>
      </c>
      <c r="B110" s="117"/>
      <c r="C110" s="116">
        <v>0</v>
      </c>
      <c r="D110" s="116"/>
      <c r="E110" s="116"/>
      <c r="F110" s="116"/>
      <c r="G110" s="116"/>
      <c r="H110" s="116">
        <v>0</v>
      </c>
      <c r="I110" s="116"/>
      <c r="J110" s="116"/>
      <c r="K110" s="116"/>
      <c r="L110" s="116"/>
      <c r="M110" s="116"/>
      <c r="N110" s="116"/>
      <c r="O110" s="116">
        <v>0</v>
      </c>
      <c r="P110" s="110"/>
      <c r="Q110" s="110"/>
      <c r="R110" s="110">
        <f>SUM(C110:P110)</f>
        <v>0</v>
      </c>
    </row>
    <row r="111" spans="1:18" ht="13.5" customHeight="1">
      <c r="A111" s="130" t="s">
        <v>338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0"/>
      <c r="Q111" s="110"/>
      <c r="R111" s="110">
        <f>SUM(C111:P111)</f>
        <v>0</v>
      </c>
    </row>
    <row r="112" spans="1:18" ht="13.5" customHeight="1">
      <c r="A112" s="130" t="s">
        <v>38</v>
      </c>
      <c r="B112" s="100"/>
      <c r="C112" s="100">
        <f>SUM(C109:C111)</f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f>SUM(M108:M111)</f>
        <v>0</v>
      </c>
      <c r="N112" s="100">
        <f>SUM(N110:N111)</f>
        <v>0</v>
      </c>
      <c r="O112" s="100">
        <f>SUM(O110:O111)</f>
        <v>0</v>
      </c>
      <c r="P112" s="100">
        <f>SUM(P108:P111)</f>
        <v>0</v>
      </c>
      <c r="Q112" s="100"/>
      <c r="R112" s="100">
        <f>SUM(C112:P112)</f>
        <v>0</v>
      </c>
    </row>
    <row r="113" spans="1:18" ht="13.5" customHeight="1" thickBot="1">
      <c r="A113" s="131" t="s">
        <v>39</v>
      </c>
      <c r="B113" s="133"/>
      <c r="C113" s="133">
        <v>0</v>
      </c>
      <c r="D113" s="133">
        <v>0</v>
      </c>
      <c r="E113" s="133">
        <v>0</v>
      </c>
      <c r="F113" s="133">
        <v>0</v>
      </c>
      <c r="G113" s="133">
        <v>0</v>
      </c>
      <c r="H113" s="133">
        <v>0</v>
      </c>
      <c r="I113" s="133">
        <v>0</v>
      </c>
      <c r="J113" s="133">
        <v>0</v>
      </c>
      <c r="K113" s="133">
        <v>0</v>
      </c>
      <c r="L113" s="133">
        <v>0</v>
      </c>
      <c r="M113" s="133">
        <v>0</v>
      </c>
      <c r="N113" s="133">
        <f>SUM(N111:N112)</f>
        <v>0</v>
      </c>
      <c r="O113" s="133">
        <v>0</v>
      </c>
      <c r="P113" s="133">
        <v>0</v>
      </c>
      <c r="Q113" s="133"/>
      <c r="R113" s="133">
        <f>SUM(C113:P113)</f>
        <v>0</v>
      </c>
    </row>
    <row r="114" spans="1:18" ht="13.5" customHeight="1" thickTop="1">
      <c r="A114" s="134" t="s">
        <v>339</v>
      </c>
      <c r="B114" s="117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3"/>
      <c r="P114" s="122"/>
      <c r="Q114" s="122"/>
      <c r="R114" s="123"/>
    </row>
    <row r="115" spans="1:18" ht="13.5" customHeight="1">
      <c r="A115" s="134" t="s">
        <v>340</v>
      </c>
      <c r="B115" s="118"/>
      <c r="C115" s="117"/>
      <c r="D115" s="117">
        <v>0</v>
      </c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07"/>
      <c r="P115" s="117"/>
      <c r="Q115" s="117"/>
      <c r="R115" s="107">
        <f>SUM(B115:P115)</f>
        <v>0</v>
      </c>
    </row>
    <row r="116" spans="1:18" ht="13.5" customHeight="1">
      <c r="A116" s="130" t="s">
        <v>38</v>
      </c>
      <c r="B116" s="100">
        <v>0</v>
      </c>
      <c r="C116" s="100">
        <v>0</v>
      </c>
      <c r="D116" s="100">
        <f>SUM(D115)</f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0">
        <v>0</v>
      </c>
      <c r="P116" s="100">
        <v>0</v>
      </c>
      <c r="Q116" s="100"/>
      <c r="R116" s="100">
        <f>SUM(B116:P116)</f>
        <v>0</v>
      </c>
    </row>
    <row r="117" spans="1:18" ht="13.5" customHeight="1" thickBot="1">
      <c r="A117" s="131" t="s">
        <v>39</v>
      </c>
      <c r="B117" s="133">
        <v>0</v>
      </c>
      <c r="C117" s="133">
        <v>0</v>
      </c>
      <c r="D117" s="133">
        <v>0</v>
      </c>
      <c r="E117" s="133">
        <v>0</v>
      </c>
      <c r="F117" s="133">
        <v>0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0</v>
      </c>
      <c r="N117" s="133">
        <v>0</v>
      </c>
      <c r="O117" s="133">
        <v>0</v>
      </c>
      <c r="P117" s="133">
        <v>0</v>
      </c>
      <c r="Q117" s="133"/>
      <c r="R117" s="133">
        <f>SUM(B117:P117)</f>
        <v>0</v>
      </c>
    </row>
    <row r="118" spans="1:18" ht="13.5" customHeight="1" thickTop="1">
      <c r="A118" s="130" t="s">
        <v>38</v>
      </c>
      <c r="B118" s="112">
        <f>SUM(B13)</f>
        <v>0</v>
      </c>
      <c r="C118" s="100">
        <f>SUM(C22+C28+C33+C46+C54+C61+C76+C89+C100+C106++C112)</f>
        <v>0</v>
      </c>
      <c r="D118" s="192">
        <v>0</v>
      </c>
      <c r="E118" s="192">
        <f>SUM(E22+E28+E33+E46+E54+E61+E76+E89+E100+E106+E112)</f>
        <v>0</v>
      </c>
      <c r="F118" s="192">
        <f>SUM(F61)</f>
        <v>0</v>
      </c>
      <c r="G118" s="192">
        <f>SUM(G28+G46+G54+G61+G76+G89+G100+G106+G112)</f>
        <v>0</v>
      </c>
      <c r="H118" s="192">
        <f>SUM(H46+H61+H112)</f>
        <v>0</v>
      </c>
      <c r="I118" s="192">
        <f>SUM(I46+I54+I61+I76+I89+I100+I106+I112)</f>
        <v>0</v>
      </c>
      <c r="J118" s="192">
        <f>SUM(J46+J54+J61+J76+J89+J100+J106+J112)</f>
        <v>0</v>
      </c>
      <c r="K118" s="192">
        <v>0</v>
      </c>
      <c r="L118" s="192">
        <f>SUM(L28+L33+L46+L54+L61+L76+L89+L100+L106+L112)</f>
        <v>0</v>
      </c>
      <c r="M118" s="192">
        <v>0</v>
      </c>
      <c r="N118" s="192">
        <f>SUM(N61)</f>
        <v>0</v>
      </c>
      <c r="O118" s="192">
        <f>SUM(O13+O22+O28+O33+O46+O54+O61+O76+O89+O100+O106+O112)</f>
        <v>0</v>
      </c>
      <c r="P118" s="192">
        <v>0</v>
      </c>
      <c r="Q118" s="192">
        <f>SUM(Q106)</f>
        <v>118000</v>
      </c>
      <c r="R118" s="112">
        <f>SUM(B118:Q118)</f>
        <v>118000</v>
      </c>
    </row>
    <row r="119" spans="1:18" ht="13.5" customHeight="1" thickBot="1">
      <c r="A119" s="131" t="s">
        <v>39</v>
      </c>
      <c r="B119" s="113">
        <v>0</v>
      </c>
      <c r="C119" s="133">
        <v>0</v>
      </c>
      <c r="D119" s="133">
        <v>0</v>
      </c>
      <c r="E119" s="133">
        <v>0</v>
      </c>
      <c r="F119" s="133">
        <v>0</v>
      </c>
      <c r="G119" s="133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  <c r="M119" s="133">
        <v>0</v>
      </c>
      <c r="N119" s="133">
        <v>0</v>
      </c>
      <c r="O119" s="133">
        <v>0</v>
      </c>
      <c r="P119" s="133">
        <v>0</v>
      </c>
      <c r="Q119" s="133">
        <f>99180+2342000+369000</f>
        <v>2810180</v>
      </c>
      <c r="R119" s="113">
        <f>SUM(B119:Q119)</f>
        <v>2810180</v>
      </c>
    </row>
    <row r="120" ht="15" thickTop="1"/>
  </sheetData>
  <sheetProtection/>
  <mergeCells count="27">
    <mergeCell ref="P81:Q81"/>
    <mergeCell ref="R81:R82"/>
    <mergeCell ref="B81:B82"/>
    <mergeCell ref="C81:E81"/>
    <mergeCell ref="G81:H81"/>
    <mergeCell ref="I81:J81"/>
    <mergeCell ref="L81:M81"/>
    <mergeCell ref="N81:O81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24">
      <selection activeCell="H103" sqref="H103"/>
    </sheetView>
  </sheetViews>
  <sheetFormatPr defaultColWidth="9.140625" defaultRowHeight="12.75"/>
  <cols>
    <col min="1" max="1" width="12.421875" style="108" customWidth="1"/>
    <col min="2" max="2" width="7.7109375" style="121" customWidth="1"/>
    <col min="3" max="3" width="7.57421875" style="121" customWidth="1"/>
    <col min="4" max="4" width="7.7109375" style="121" customWidth="1"/>
    <col min="5" max="6" width="7.421875" style="121" customWidth="1"/>
    <col min="7" max="7" width="7.57421875" style="121" customWidth="1"/>
    <col min="8" max="9" width="7.421875" style="121" customWidth="1"/>
    <col min="10" max="10" width="7.28125" style="121" customWidth="1"/>
    <col min="11" max="11" width="7.140625" style="121" customWidth="1"/>
    <col min="12" max="12" width="7.421875" style="121" customWidth="1"/>
    <col min="13" max="13" width="7.140625" style="121" customWidth="1"/>
    <col min="14" max="14" width="7.421875" style="121" customWidth="1"/>
    <col min="15" max="15" width="7.57421875" style="121" customWidth="1"/>
    <col min="16" max="16" width="7.421875" style="101" customWidth="1"/>
    <col min="17" max="17" width="7.57421875" style="101" customWidth="1"/>
    <col min="18" max="18" width="9.7109375" style="101" customWidth="1"/>
    <col min="19" max="16384" width="9.140625" style="102" customWidth="1"/>
  </cols>
  <sheetData>
    <row r="1" spans="1:18" ht="16.5">
      <c r="A1" s="322" t="s">
        <v>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16.5">
      <c r="A2" s="322" t="s">
        <v>506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 ht="16.5">
      <c r="A3" s="323" t="s">
        <v>534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="165" customFormat="1" ht="14.25">
      <c r="Q4" s="241"/>
    </row>
    <row r="5" spans="1:18" s="104" customFormat="1" ht="14.25">
      <c r="A5" s="105" t="s">
        <v>122</v>
      </c>
      <c r="B5" s="320" t="s">
        <v>99</v>
      </c>
      <c r="C5" s="321" t="s">
        <v>100</v>
      </c>
      <c r="D5" s="321"/>
      <c r="E5" s="321"/>
      <c r="F5" s="127" t="s">
        <v>101</v>
      </c>
      <c r="G5" s="321" t="s">
        <v>102</v>
      </c>
      <c r="H5" s="321"/>
      <c r="I5" s="321" t="s">
        <v>103</v>
      </c>
      <c r="J5" s="321"/>
      <c r="K5" s="127" t="s">
        <v>104</v>
      </c>
      <c r="L5" s="321" t="s">
        <v>105</v>
      </c>
      <c r="M5" s="321"/>
      <c r="N5" s="321" t="s">
        <v>106</v>
      </c>
      <c r="O5" s="321"/>
      <c r="P5" s="324" t="s">
        <v>120</v>
      </c>
      <c r="Q5" s="325"/>
      <c r="R5" s="318" t="s">
        <v>20</v>
      </c>
    </row>
    <row r="6" spans="1:18" s="104" customFormat="1" ht="14.25">
      <c r="A6" s="106" t="s">
        <v>123</v>
      </c>
      <c r="B6" s="320"/>
      <c r="C6" s="127" t="s">
        <v>107</v>
      </c>
      <c r="D6" s="127" t="s">
        <v>118</v>
      </c>
      <c r="E6" s="127" t="s">
        <v>108</v>
      </c>
      <c r="F6" s="127" t="s">
        <v>109</v>
      </c>
      <c r="G6" s="127" t="s">
        <v>110</v>
      </c>
      <c r="H6" s="127" t="s">
        <v>111</v>
      </c>
      <c r="I6" s="127" t="s">
        <v>112</v>
      </c>
      <c r="J6" s="127" t="s">
        <v>113</v>
      </c>
      <c r="K6" s="127" t="s">
        <v>119</v>
      </c>
      <c r="L6" s="127" t="s">
        <v>114</v>
      </c>
      <c r="M6" s="127" t="s">
        <v>115</v>
      </c>
      <c r="N6" s="127" t="s">
        <v>116</v>
      </c>
      <c r="O6" s="127" t="s">
        <v>117</v>
      </c>
      <c r="P6" s="127" t="s">
        <v>341</v>
      </c>
      <c r="Q6" s="242" t="s">
        <v>121</v>
      </c>
      <c r="R6" s="319"/>
    </row>
    <row r="7" spans="1:18" ht="14.25">
      <c r="A7" s="128" t="s">
        <v>271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14.25">
      <c r="A8" s="129" t="s">
        <v>272</v>
      </c>
      <c r="B8" s="107">
        <f>4759+1615</f>
        <v>6374</v>
      </c>
      <c r="C8" s="107"/>
      <c r="D8" s="107"/>
      <c r="E8" s="107" t="s">
        <v>269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>
        <f>SUM(B8:P8)</f>
        <v>6374</v>
      </c>
    </row>
    <row r="9" spans="1:18" ht="14.25">
      <c r="A9" s="130" t="s">
        <v>273</v>
      </c>
      <c r="B9" s="110">
        <f>1500+1000</f>
        <v>2500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SUM(B9:Q9)</f>
        <v>2500</v>
      </c>
    </row>
    <row r="10" spans="1:18" ht="14.25">
      <c r="A10" s="130" t="s">
        <v>274</v>
      </c>
      <c r="B10" s="110">
        <v>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>
        <f>SUM(B10:P10)</f>
        <v>0</v>
      </c>
    </row>
    <row r="11" spans="1:18" ht="14.25">
      <c r="A11" s="130" t="s">
        <v>275</v>
      </c>
      <c r="B11" s="110">
        <v>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>
        <f>SUM(B11:P11)</f>
        <v>0</v>
      </c>
    </row>
    <row r="12" spans="1:18" ht="14.25">
      <c r="A12" s="130" t="s">
        <v>276</v>
      </c>
      <c r="B12" s="126">
        <v>0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>
        <f>SUM(B12:Q12)</f>
        <v>0</v>
      </c>
    </row>
    <row r="13" spans="1:18" ht="14.25">
      <c r="A13" s="130" t="s">
        <v>38</v>
      </c>
      <c r="B13" s="112">
        <f>SUM(B8:B12)</f>
        <v>8874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/>
      <c r="R13" s="112">
        <f>SUM(B13:Q13)</f>
        <v>8874</v>
      </c>
    </row>
    <row r="14" spans="1:18" ht="15" thickBot="1">
      <c r="A14" s="131" t="s">
        <v>39</v>
      </c>
      <c r="B14" s="113">
        <f>319754+29919+6643+8874</f>
        <v>365190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240"/>
      <c r="R14" s="113">
        <f>SUM(B14:P14)</f>
        <v>365190</v>
      </c>
    </row>
    <row r="15" spans="1:18" ht="15" thickTop="1">
      <c r="A15" s="132" t="s">
        <v>277</v>
      </c>
      <c r="B15" s="114"/>
      <c r="C15" s="12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114"/>
      <c r="Q15" s="114"/>
      <c r="R15" s="115"/>
    </row>
    <row r="16" spans="1:18" ht="14.25">
      <c r="A16" s="130" t="s">
        <v>278</v>
      </c>
      <c r="B16" s="116"/>
      <c r="C16" s="110">
        <v>42840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0"/>
      <c r="P16" s="116"/>
      <c r="Q16" s="116"/>
      <c r="R16" s="110">
        <f aca="true" t="shared" si="0" ref="R16:R23">SUM(C16:P16)</f>
        <v>42840</v>
      </c>
    </row>
    <row r="17" spans="1:18" ht="14.25">
      <c r="A17" s="129" t="s">
        <v>279</v>
      </c>
      <c r="B17" s="117"/>
      <c r="C17" s="117">
        <v>3510</v>
      </c>
      <c r="D17" s="117"/>
      <c r="E17" s="117">
        <v>0</v>
      </c>
      <c r="F17" s="117"/>
      <c r="G17" s="117">
        <v>0</v>
      </c>
      <c r="H17" s="117"/>
      <c r="I17" s="117"/>
      <c r="J17" s="117"/>
      <c r="K17" s="117"/>
      <c r="L17" s="117">
        <v>0</v>
      </c>
      <c r="M17" s="117"/>
      <c r="N17" s="117"/>
      <c r="O17" s="107"/>
      <c r="P17" s="117"/>
      <c r="Q17" s="117"/>
      <c r="R17" s="107">
        <f t="shared" si="0"/>
        <v>3510</v>
      </c>
    </row>
    <row r="18" spans="1:18" ht="14.25">
      <c r="A18" s="130" t="s">
        <v>280</v>
      </c>
      <c r="B18" s="116"/>
      <c r="C18" s="116">
        <v>3510</v>
      </c>
      <c r="D18" s="116"/>
      <c r="E18" s="116">
        <v>0</v>
      </c>
      <c r="F18" s="116"/>
      <c r="G18" s="116">
        <v>0</v>
      </c>
      <c r="H18" s="116"/>
      <c r="I18" s="116"/>
      <c r="J18" s="116"/>
      <c r="K18" s="116"/>
      <c r="L18" s="116">
        <v>0</v>
      </c>
      <c r="M18" s="116"/>
      <c r="N18" s="116"/>
      <c r="O18" s="110"/>
      <c r="P18" s="116"/>
      <c r="Q18" s="116"/>
      <c r="R18" s="110">
        <f t="shared" si="0"/>
        <v>3510</v>
      </c>
    </row>
    <row r="19" spans="1:18" ht="14.25">
      <c r="A19" s="130" t="s">
        <v>281</v>
      </c>
      <c r="B19" s="116"/>
      <c r="C19" s="110">
        <v>7200</v>
      </c>
      <c r="D19" s="116"/>
      <c r="E19" s="116">
        <v>0</v>
      </c>
      <c r="F19" s="116"/>
      <c r="G19" s="116"/>
      <c r="H19" s="116"/>
      <c r="I19" s="116"/>
      <c r="J19" s="116"/>
      <c r="K19" s="116"/>
      <c r="L19" s="116">
        <v>0</v>
      </c>
      <c r="M19" s="116"/>
      <c r="N19" s="116"/>
      <c r="O19" s="110"/>
      <c r="P19" s="116"/>
      <c r="Q19" s="116"/>
      <c r="R19" s="110">
        <f t="shared" si="0"/>
        <v>7200</v>
      </c>
    </row>
    <row r="20" spans="1:18" ht="14.25">
      <c r="A20" s="129" t="s">
        <v>282</v>
      </c>
      <c r="B20" s="117"/>
      <c r="C20" s="117">
        <v>175440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07"/>
      <c r="P20" s="117"/>
      <c r="Q20" s="117"/>
      <c r="R20" s="107">
        <f t="shared" si="0"/>
        <v>175440</v>
      </c>
    </row>
    <row r="21" spans="1:18" ht="14.25">
      <c r="A21" s="130" t="s">
        <v>283</v>
      </c>
      <c r="B21" s="116"/>
      <c r="C21" s="110">
        <v>7200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0"/>
      <c r="P21" s="116"/>
      <c r="Q21" s="116"/>
      <c r="R21" s="110">
        <f t="shared" si="0"/>
        <v>7200</v>
      </c>
    </row>
    <row r="22" spans="1:18" ht="14.25">
      <c r="A22" s="130" t="s">
        <v>38</v>
      </c>
      <c r="B22" s="100"/>
      <c r="C22" s="119">
        <f>SUM(C16:C21)</f>
        <v>239700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/>
      <c r="R22" s="112">
        <f t="shared" si="0"/>
        <v>239700</v>
      </c>
    </row>
    <row r="23" spans="1:18" ht="15" thickBot="1">
      <c r="A23" s="131" t="s">
        <v>39</v>
      </c>
      <c r="B23" s="133"/>
      <c r="C23" s="120">
        <f>972240+243060+243060+239700</f>
        <v>1698060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/>
      <c r="R23" s="113">
        <f t="shared" si="0"/>
        <v>1698060</v>
      </c>
    </row>
    <row r="24" spans="1:18" ht="15" thickTop="1">
      <c r="A24" s="129" t="s">
        <v>284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23"/>
      <c r="P24" s="117"/>
      <c r="Q24" s="117"/>
      <c r="R24" s="107"/>
    </row>
    <row r="25" spans="1:18" ht="14.25">
      <c r="A25" s="130" t="s">
        <v>285</v>
      </c>
      <c r="B25" s="116"/>
      <c r="C25" s="116">
        <v>161330</v>
      </c>
      <c r="D25" s="116"/>
      <c r="E25" s="116">
        <v>102610</v>
      </c>
      <c r="F25" s="116"/>
      <c r="G25" s="116">
        <v>20780</v>
      </c>
      <c r="H25" s="116"/>
      <c r="I25" s="116"/>
      <c r="J25" s="116"/>
      <c r="K25" s="116"/>
      <c r="L25" s="116">
        <v>41320</v>
      </c>
      <c r="M25" s="116"/>
      <c r="N25" s="116"/>
      <c r="O25" s="110"/>
      <c r="P25" s="116"/>
      <c r="Q25" s="116"/>
      <c r="R25" s="110">
        <f>SUM(C25:Q25)</f>
        <v>326040</v>
      </c>
    </row>
    <row r="26" spans="1:18" ht="14.25">
      <c r="A26" s="130" t="s">
        <v>286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0"/>
      <c r="P26" s="116"/>
      <c r="Q26" s="116"/>
      <c r="R26" s="110">
        <f>SUM(C26:P26)</f>
        <v>0</v>
      </c>
    </row>
    <row r="27" spans="1:18" ht="14.25">
      <c r="A27" s="129" t="s">
        <v>287</v>
      </c>
      <c r="B27" s="117"/>
      <c r="C27" s="117">
        <v>14700</v>
      </c>
      <c r="D27" s="117"/>
      <c r="E27" s="117">
        <v>3500</v>
      </c>
      <c r="F27" s="117"/>
      <c r="G27" s="117"/>
      <c r="H27" s="117"/>
      <c r="I27" s="117"/>
      <c r="J27" s="117"/>
      <c r="K27" s="117"/>
      <c r="L27" s="117">
        <v>3500</v>
      </c>
      <c r="M27" s="117"/>
      <c r="N27" s="117"/>
      <c r="O27" s="107"/>
      <c r="P27" s="117"/>
      <c r="Q27" s="117"/>
      <c r="R27" s="107">
        <f>SUM(C27:Q27)</f>
        <v>21700</v>
      </c>
    </row>
    <row r="28" spans="1:18" ht="14.25">
      <c r="A28" s="130" t="s">
        <v>38</v>
      </c>
      <c r="B28" s="100"/>
      <c r="C28" s="119">
        <f>SUM(C25:C27)</f>
        <v>176030</v>
      </c>
      <c r="D28" s="100">
        <v>0</v>
      </c>
      <c r="E28" s="100">
        <f>SUM(E25:E27)</f>
        <v>106110</v>
      </c>
      <c r="F28" s="100">
        <v>0</v>
      </c>
      <c r="G28" s="100">
        <f>SUM(G25)</f>
        <v>20780</v>
      </c>
      <c r="H28" s="100">
        <v>0</v>
      </c>
      <c r="I28" s="100">
        <v>0</v>
      </c>
      <c r="J28" s="100">
        <v>0</v>
      </c>
      <c r="K28" s="100">
        <v>0</v>
      </c>
      <c r="L28" s="100">
        <f>SUM(L25:L27)</f>
        <v>44820</v>
      </c>
      <c r="M28" s="100">
        <v>0</v>
      </c>
      <c r="N28" s="100">
        <v>0</v>
      </c>
      <c r="O28" s="100">
        <v>0</v>
      </c>
      <c r="P28" s="100">
        <v>0</v>
      </c>
      <c r="Q28" s="100"/>
      <c r="R28" s="100">
        <f>SUM(C28:P28)</f>
        <v>347740</v>
      </c>
    </row>
    <row r="29" spans="1:18" ht="15" thickBot="1">
      <c r="A29" s="131" t="s">
        <v>39</v>
      </c>
      <c r="B29" s="133"/>
      <c r="C29" s="120">
        <f>685920+174314+172540+176030</f>
        <v>1208804</v>
      </c>
      <c r="D29" s="133">
        <v>0</v>
      </c>
      <c r="E29" s="133">
        <f>415080+103770+103770+106110</f>
        <v>728730</v>
      </c>
      <c r="F29" s="133">
        <v>0</v>
      </c>
      <c r="G29" s="133">
        <f>81440+20360+20360+20780</f>
        <v>142940</v>
      </c>
      <c r="H29" s="133">
        <v>0</v>
      </c>
      <c r="I29" s="133">
        <v>0</v>
      </c>
      <c r="J29" s="133">
        <v>0</v>
      </c>
      <c r="K29" s="133">
        <v>0</v>
      </c>
      <c r="L29" s="133">
        <f>175880+43970+43970+44820</f>
        <v>308640</v>
      </c>
      <c r="M29" s="133">
        <v>0</v>
      </c>
      <c r="N29" s="133">
        <v>0</v>
      </c>
      <c r="O29" s="133">
        <v>0</v>
      </c>
      <c r="P29" s="133">
        <v>0</v>
      </c>
      <c r="Q29" s="133"/>
      <c r="R29" s="133">
        <f>SUM(C29:P29)</f>
        <v>2389114</v>
      </c>
    </row>
    <row r="30" spans="1:18" ht="15" thickTop="1">
      <c r="A30" s="129" t="s">
        <v>284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07"/>
      <c r="P30" s="117"/>
      <c r="Q30" s="117"/>
      <c r="R30" s="124"/>
    </row>
    <row r="31" spans="1:18" ht="14.25">
      <c r="A31" s="130" t="s">
        <v>288</v>
      </c>
      <c r="B31" s="116"/>
      <c r="C31" s="116">
        <v>12330</v>
      </c>
      <c r="D31" s="116"/>
      <c r="E31" s="116">
        <v>0</v>
      </c>
      <c r="F31" s="116"/>
      <c r="G31" s="116">
        <v>0</v>
      </c>
      <c r="H31" s="116"/>
      <c r="I31" s="116">
        <v>0</v>
      </c>
      <c r="J31" s="116"/>
      <c r="K31" s="116"/>
      <c r="L31" s="116">
        <v>0</v>
      </c>
      <c r="M31" s="116"/>
      <c r="N31" s="116"/>
      <c r="O31" s="110"/>
      <c r="P31" s="116"/>
      <c r="Q31" s="116"/>
      <c r="R31" s="110">
        <f>SUM(C31:P31)</f>
        <v>12330</v>
      </c>
    </row>
    <row r="32" spans="1:18" ht="14.25">
      <c r="A32" s="129" t="s">
        <v>289</v>
      </c>
      <c r="B32" s="118"/>
      <c r="C32" s="117">
        <f>195-195</f>
        <v>0</v>
      </c>
      <c r="D32" s="117"/>
      <c r="E32" s="117">
        <v>0</v>
      </c>
      <c r="F32" s="117"/>
      <c r="G32" s="117">
        <v>0</v>
      </c>
      <c r="H32" s="117"/>
      <c r="I32" s="117">
        <v>0</v>
      </c>
      <c r="J32" s="117"/>
      <c r="K32" s="117"/>
      <c r="L32" s="117">
        <v>0</v>
      </c>
      <c r="M32" s="117"/>
      <c r="N32" s="117"/>
      <c r="O32" s="107"/>
      <c r="P32" s="117"/>
      <c r="Q32" s="117"/>
      <c r="R32" s="107">
        <f>SUM(C32:P32)</f>
        <v>0</v>
      </c>
    </row>
    <row r="33" spans="1:18" ht="14.25">
      <c r="A33" s="130" t="s">
        <v>38</v>
      </c>
      <c r="B33" s="100"/>
      <c r="C33" s="119">
        <f>SUM(C31:C32)</f>
        <v>12330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/>
      <c r="R33" s="112">
        <f>SUM(C33:P33)</f>
        <v>12330</v>
      </c>
    </row>
    <row r="34" spans="1:18" ht="15" thickBot="1">
      <c r="A34" s="131" t="s">
        <v>39</v>
      </c>
      <c r="B34" s="133"/>
      <c r="C34" s="113">
        <f>53565+12285+12285+12330</f>
        <v>90465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/>
      <c r="R34" s="113">
        <f>SUM(C34:P34)</f>
        <v>90465</v>
      </c>
    </row>
    <row r="35" ht="15" thickTop="1">
      <c r="C35" s="230"/>
    </row>
    <row r="41" spans="1:18" s="104" customFormat="1" ht="14.25">
      <c r="A41" s="105" t="s">
        <v>122</v>
      </c>
      <c r="B41" s="320" t="s">
        <v>99</v>
      </c>
      <c r="C41" s="321" t="s">
        <v>100</v>
      </c>
      <c r="D41" s="321"/>
      <c r="E41" s="321"/>
      <c r="F41" s="127" t="s">
        <v>101</v>
      </c>
      <c r="G41" s="321" t="s">
        <v>102</v>
      </c>
      <c r="H41" s="321"/>
      <c r="I41" s="321" t="s">
        <v>103</v>
      </c>
      <c r="J41" s="321"/>
      <c r="K41" s="127" t="s">
        <v>104</v>
      </c>
      <c r="L41" s="321" t="s">
        <v>105</v>
      </c>
      <c r="M41" s="321"/>
      <c r="N41" s="321" t="s">
        <v>106</v>
      </c>
      <c r="O41" s="321"/>
      <c r="P41" s="324" t="s">
        <v>120</v>
      </c>
      <c r="Q41" s="325"/>
      <c r="R41" s="318" t="s">
        <v>20</v>
      </c>
    </row>
    <row r="42" spans="1:18" s="104" customFormat="1" ht="14.25">
      <c r="A42" s="106" t="s">
        <v>123</v>
      </c>
      <c r="B42" s="320"/>
      <c r="C42" s="127" t="s">
        <v>107</v>
      </c>
      <c r="D42" s="127" t="s">
        <v>118</v>
      </c>
      <c r="E42" s="127" t="s">
        <v>108</v>
      </c>
      <c r="F42" s="127" t="s">
        <v>109</v>
      </c>
      <c r="G42" s="127" t="s">
        <v>110</v>
      </c>
      <c r="H42" s="127" t="s">
        <v>111</v>
      </c>
      <c r="I42" s="127" t="s">
        <v>112</v>
      </c>
      <c r="J42" s="127" t="s">
        <v>113</v>
      </c>
      <c r="K42" s="127" t="s">
        <v>119</v>
      </c>
      <c r="L42" s="127" t="s">
        <v>114</v>
      </c>
      <c r="M42" s="127" t="s">
        <v>115</v>
      </c>
      <c r="N42" s="127" t="s">
        <v>116</v>
      </c>
      <c r="O42" s="127" t="s">
        <v>117</v>
      </c>
      <c r="P42" s="127" t="s">
        <v>341</v>
      </c>
      <c r="Q42" s="242" t="s">
        <v>121</v>
      </c>
      <c r="R42" s="319"/>
    </row>
    <row r="43" spans="1:18" ht="14.25">
      <c r="A43" s="132" t="s">
        <v>284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1:18" ht="14.25">
      <c r="A44" s="130" t="s">
        <v>290</v>
      </c>
      <c r="B44" s="110"/>
      <c r="C44" s="110">
        <v>28900</v>
      </c>
      <c r="D44" s="110"/>
      <c r="E44" s="110">
        <v>20330</v>
      </c>
      <c r="F44" s="110"/>
      <c r="G44" s="110">
        <v>40351</v>
      </c>
      <c r="H44" s="110">
        <v>5700</v>
      </c>
      <c r="I44" s="110">
        <v>9000</v>
      </c>
      <c r="J44" s="110"/>
      <c r="K44" s="110"/>
      <c r="L44" s="110">
        <v>18400</v>
      </c>
      <c r="M44" s="110"/>
      <c r="N44" s="110"/>
      <c r="O44" s="110"/>
      <c r="P44" s="110"/>
      <c r="Q44" s="110"/>
      <c r="R44" s="110">
        <f>SUM(C44:P44)</f>
        <v>122681</v>
      </c>
    </row>
    <row r="45" spans="1:18" ht="14.25">
      <c r="A45" s="134" t="s">
        <v>291</v>
      </c>
      <c r="B45" s="107"/>
      <c r="C45" s="107">
        <v>3000</v>
      </c>
      <c r="D45" s="107"/>
      <c r="E45" s="107">
        <v>955</v>
      </c>
      <c r="F45" s="107"/>
      <c r="G45" s="107"/>
      <c r="H45" s="107"/>
      <c r="I45" s="107"/>
      <c r="J45" s="107"/>
      <c r="K45" s="107"/>
      <c r="L45" s="107">
        <v>1500</v>
      </c>
      <c r="M45" s="107"/>
      <c r="N45" s="107"/>
      <c r="O45" s="107"/>
      <c r="P45" s="107"/>
      <c r="Q45" s="107"/>
      <c r="R45" s="107">
        <f>SUM(C45:P45)</f>
        <v>5455</v>
      </c>
    </row>
    <row r="46" spans="1:18" ht="14.25">
      <c r="A46" s="130" t="s">
        <v>38</v>
      </c>
      <c r="B46" s="100"/>
      <c r="C46" s="112">
        <f>SUM(C44:C45)</f>
        <v>31900</v>
      </c>
      <c r="D46" s="100">
        <v>0</v>
      </c>
      <c r="E46" s="100">
        <f>SUM(E44:E45)</f>
        <v>21285</v>
      </c>
      <c r="F46" s="100">
        <v>0</v>
      </c>
      <c r="G46" s="100">
        <f>SUM(G44)</f>
        <v>40351</v>
      </c>
      <c r="H46" s="100">
        <f>SUM(H44)</f>
        <v>5700</v>
      </c>
      <c r="I46" s="100">
        <f>SUM(I44)</f>
        <v>9000</v>
      </c>
      <c r="J46" s="100">
        <v>0</v>
      </c>
      <c r="K46" s="100">
        <v>0</v>
      </c>
      <c r="L46" s="100">
        <f>SUM(L44:L45)</f>
        <v>19900</v>
      </c>
      <c r="M46" s="100">
        <v>0</v>
      </c>
      <c r="N46" s="100">
        <v>0</v>
      </c>
      <c r="O46" s="100">
        <v>0</v>
      </c>
      <c r="P46" s="100">
        <v>0</v>
      </c>
      <c r="Q46" s="100"/>
      <c r="R46" s="100">
        <f>SUM(C46:P46)</f>
        <v>128136</v>
      </c>
    </row>
    <row r="47" spans="1:18" ht="15" thickBot="1">
      <c r="A47" s="131" t="s">
        <v>39</v>
      </c>
      <c r="B47" s="133"/>
      <c r="C47" s="113">
        <f>84000+21000+29073+31900</f>
        <v>165973</v>
      </c>
      <c r="D47" s="100">
        <v>0</v>
      </c>
      <c r="E47" s="100">
        <f>85140+21285+21285+21285</f>
        <v>148995</v>
      </c>
      <c r="F47" s="100">
        <v>0</v>
      </c>
      <c r="G47" s="100">
        <f>125250+18000-500+40351</f>
        <v>183101</v>
      </c>
      <c r="H47" s="100">
        <f>7600+5700+5700</f>
        <v>19000</v>
      </c>
      <c r="I47" s="100">
        <f>36000+9000+9000+9000</f>
        <v>63000</v>
      </c>
      <c r="J47" s="100">
        <v>0</v>
      </c>
      <c r="K47" s="100">
        <v>0</v>
      </c>
      <c r="L47" s="100">
        <f>79600+19900+19900+19900</f>
        <v>139300</v>
      </c>
      <c r="M47" s="100">
        <v>0</v>
      </c>
      <c r="N47" s="100">
        <v>0</v>
      </c>
      <c r="O47" s="100">
        <v>0</v>
      </c>
      <c r="P47" s="100">
        <v>0</v>
      </c>
      <c r="Q47" s="100"/>
      <c r="R47" s="100">
        <f>SUM(C47:P47)</f>
        <v>719369</v>
      </c>
    </row>
    <row r="48" spans="1:18" ht="15" thickTop="1">
      <c r="A48" s="132" t="s">
        <v>292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P48" s="114"/>
      <c r="Q48" s="114"/>
      <c r="R48" s="115"/>
    </row>
    <row r="49" spans="1:18" ht="14.25">
      <c r="A49" s="130" t="s">
        <v>293</v>
      </c>
      <c r="B49" s="116"/>
      <c r="C49" s="116">
        <v>0</v>
      </c>
      <c r="D49" s="116"/>
      <c r="E49" s="116"/>
      <c r="F49" s="116"/>
      <c r="G49" s="116"/>
      <c r="H49" s="116"/>
      <c r="I49" s="116" t="s">
        <v>269</v>
      </c>
      <c r="J49" s="116"/>
      <c r="K49" s="116"/>
      <c r="L49" s="116">
        <v>6650</v>
      </c>
      <c r="M49" s="116">
        <v>0</v>
      </c>
      <c r="N49" s="116"/>
      <c r="O49" s="110"/>
      <c r="P49" s="116"/>
      <c r="Q49" s="116"/>
      <c r="R49" s="110">
        <f aca="true" t="shared" si="1" ref="R49:R55">SUM(C49:P49)</f>
        <v>6650</v>
      </c>
    </row>
    <row r="50" spans="1:18" ht="14.25">
      <c r="A50" s="129" t="s">
        <v>294</v>
      </c>
      <c r="B50" s="117"/>
      <c r="C50" s="117">
        <v>0</v>
      </c>
      <c r="D50" s="117"/>
      <c r="E50" s="117">
        <v>0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07"/>
      <c r="P50" s="117"/>
      <c r="Q50" s="117"/>
      <c r="R50" s="107">
        <f t="shared" si="1"/>
        <v>0</v>
      </c>
    </row>
    <row r="51" spans="1:18" ht="14.25">
      <c r="A51" s="130" t="s">
        <v>295</v>
      </c>
      <c r="B51" s="116"/>
      <c r="C51" s="116">
        <v>8000</v>
      </c>
      <c r="D51" s="116"/>
      <c r="E51" s="116">
        <f>3000+3000</f>
        <v>6000</v>
      </c>
      <c r="F51" s="116"/>
      <c r="G51" s="116">
        <v>3000</v>
      </c>
      <c r="H51" s="116">
        <v>0</v>
      </c>
      <c r="I51" s="116"/>
      <c r="J51" s="116"/>
      <c r="K51" s="116"/>
      <c r="L51" s="116">
        <v>2400</v>
      </c>
      <c r="M51" s="116"/>
      <c r="N51" s="116"/>
      <c r="O51" s="110"/>
      <c r="P51" s="116"/>
      <c r="Q51" s="116"/>
      <c r="R51" s="110">
        <f>SUM(C51:Q51)</f>
        <v>19400</v>
      </c>
    </row>
    <row r="52" spans="1:18" ht="14.25">
      <c r="A52" s="130" t="s">
        <v>296</v>
      </c>
      <c r="B52" s="116"/>
      <c r="C52" s="116">
        <v>0</v>
      </c>
      <c r="D52" s="116"/>
      <c r="E52" s="116"/>
      <c r="F52" s="116">
        <v>0</v>
      </c>
      <c r="G52" s="116">
        <v>0</v>
      </c>
      <c r="H52" s="116"/>
      <c r="I52" s="116"/>
      <c r="J52" s="116"/>
      <c r="K52" s="116"/>
      <c r="L52" s="116">
        <v>0</v>
      </c>
      <c r="M52" s="116"/>
      <c r="N52" s="233"/>
      <c r="O52" s="110"/>
      <c r="P52" s="116"/>
      <c r="Q52" s="116"/>
      <c r="R52" s="110">
        <f t="shared" si="1"/>
        <v>0</v>
      </c>
    </row>
    <row r="53" spans="1:18" ht="14.25">
      <c r="A53" s="166" t="s">
        <v>297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234"/>
      <c r="O53" s="111"/>
      <c r="P53" s="118"/>
      <c r="Q53" s="118"/>
      <c r="R53" s="126"/>
    </row>
    <row r="54" spans="1:18" ht="14.25">
      <c r="A54" s="130" t="s">
        <v>38</v>
      </c>
      <c r="B54" s="100"/>
      <c r="C54" s="119">
        <f>SUM(C49:C53)</f>
        <v>8000</v>
      </c>
      <c r="D54" s="100">
        <v>0</v>
      </c>
      <c r="E54" s="100">
        <f>SUM(E51)</f>
        <v>6000</v>
      </c>
      <c r="F54" s="100">
        <v>0</v>
      </c>
      <c r="G54" s="100">
        <f>SUM(G51)</f>
        <v>3000</v>
      </c>
      <c r="H54" s="100">
        <v>0</v>
      </c>
      <c r="I54" s="100">
        <v>0</v>
      </c>
      <c r="J54" s="100">
        <v>0</v>
      </c>
      <c r="K54" s="100">
        <v>0</v>
      </c>
      <c r="L54" s="100">
        <f>SUM(L49:L53)</f>
        <v>9050</v>
      </c>
      <c r="M54" s="100">
        <f>SUM(M49:M52)</f>
        <v>0</v>
      </c>
      <c r="N54" s="100">
        <v>0</v>
      </c>
      <c r="O54" s="100">
        <v>0</v>
      </c>
      <c r="P54" s="100">
        <v>0</v>
      </c>
      <c r="Q54" s="100"/>
      <c r="R54" s="112">
        <f t="shared" si="1"/>
        <v>26050</v>
      </c>
    </row>
    <row r="55" spans="1:18" ht="15" thickBot="1">
      <c r="A55" s="131" t="s">
        <v>39</v>
      </c>
      <c r="B55" s="133"/>
      <c r="C55" s="120">
        <f>30960+17850+8000+8000</f>
        <v>64810</v>
      </c>
      <c r="D55" s="133">
        <v>0</v>
      </c>
      <c r="E55" s="133">
        <f>23120+4700+4700+6000</f>
        <v>38520</v>
      </c>
      <c r="F55" s="133">
        <v>0</v>
      </c>
      <c r="G55" s="133">
        <f>11400+3000+3000</f>
        <v>17400</v>
      </c>
      <c r="H55" s="133">
        <v>0</v>
      </c>
      <c r="I55" s="133">
        <v>0</v>
      </c>
      <c r="J55" s="133">
        <v>0</v>
      </c>
      <c r="K55" s="133">
        <v>0</v>
      </c>
      <c r="L55" s="133">
        <f>30700+15700+2400+9050</f>
        <v>57850</v>
      </c>
      <c r="M55" s="133">
        <v>0</v>
      </c>
      <c r="N55" s="133">
        <v>0</v>
      </c>
      <c r="O55" s="100">
        <v>0</v>
      </c>
      <c r="P55" s="133">
        <v>0</v>
      </c>
      <c r="Q55" s="133"/>
      <c r="R55" s="113">
        <f t="shared" si="1"/>
        <v>178580</v>
      </c>
    </row>
    <row r="56" spans="1:18" ht="15" thickTop="1">
      <c r="A56" s="134" t="s">
        <v>298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3"/>
      <c r="O56" s="124"/>
      <c r="P56" s="123"/>
      <c r="Q56" s="123"/>
      <c r="R56" s="124"/>
    </row>
    <row r="57" spans="1:18" ht="14.25">
      <c r="A57" s="134" t="s">
        <v>299</v>
      </c>
      <c r="B57" s="266" t="s">
        <v>481</v>
      </c>
      <c r="C57" s="122">
        <f>7000+5000+3070.65+11100+200</f>
        <v>26370.65</v>
      </c>
      <c r="D57" s="122"/>
      <c r="E57" s="122">
        <v>0</v>
      </c>
      <c r="F57" s="122"/>
      <c r="G57" s="122">
        <v>0</v>
      </c>
      <c r="H57" s="122"/>
      <c r="I57" s="122"/>
      <c r="J57" s="122"/>
      <c r="K57" s="122"/>
      <c r="L57" s="122"/>
      <c r="M57" s="122"/>
      <c r="N57" s="122"/>
      <c r="O57" s="123"/>
      <c r="P57" s="122"/>
      <c r="Q57" s="122"/>
      <c r="R57" s="123">
        <f>SUM(C57:P57)</f>
        <v>26370.65</v>
      </c>
    </row>
    <row r="58" spans="1:18" ht="14.25">
      <c r="A58" s="130" t="s">
        <v>300</v>
      </c>
      <c r="B58" s="116"/>
      <c r="C58" s="116">
        <v>0</v>
      </c>
      <c r="D58" s="116"/>
      <c r="E58" s="116" t="s">
        <v>496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0"/>
      <c r="P58" s="116"/>
      <c r="Q58" s="116"/>
      <c r="R58" s="110">
        <f>SUM(C58:Q58)</f>
        <v>0</v>
      </c>
    </row>
    <row r="59" spans="1:18" ht="14.25">
      <c r="A59" s="134" t="s">
        <v>301</v>
      </c>
      <c r="B59" s="116"/>
      <c r="C59" s="116">
        <f>14400+300+12205+20000</f>
        <v>46905</v>
      </c>
      <c r="D59" s="116"/>
      <c r="E59" s="116">
        <v>0</v>
      </c>
      <c r="F59" s="116">
        <f>5100+13600</f>
        <v>18700</v>
      </c>
      <c r="G59" s="116">
        <v>0</v>
      </c>
      <c r="H59" s="116">
        <f>200+3000+4000+34927.2-1663.2</f>
        <v>40464</v>
      </c>
      <c r="I59" s="116"/>
      <c r="J59" s="116">
        <v>0</v>
      </c>
      <c r="K59" s="116"/>
      <c r="L59" s="116"/>
      <c r="M59" s="116"/>
      <c r="N59" s="116">
        <v>0</v>
      </c>
      <c r="O59" s="110">
        <v>0</v>
      </c>
      <c r="P59" s="116"/>
      <c r="Q59" s="116"/>
      <c r="R59" s="110">
        <f>SUM(C59:Q59)</f>
        <v>106069</v>
      </c>
    </row>
    <row r="60" spans="1:18" ht="14.25">
      <c r="A60" s="134" t="s">
        <v>302</v>
      </c>
      <c r="B60" s="116"/>
      <c r="C60" s="116">
        <v>5000</v>
      </c>
      <c r="D60" s="116"/>
      <c r="E60" s="116">
        <f>2500+2500</f>
        <v>5000</v>
      </c>
      <c r="F60" s="116"/>
      <c r="G60" s="116">
        <v>2500</v>
      </c>
      <c r="H60" s="116"/>
      <c r="I60" s="116"/>
      <c r="J60" s="116"/>
      <c r="K60" s="116"/>
      <c r="L60" s="116">
        <v>1250</v>
      </c>
      <c r="M60" s="116"/>
      <c r="N60" s="116"/>
      <c r="O60" s="110"/>
      <c r="P60" s="116"/>
      <c r="Q60" s="116"/>
      <c r="R60" s="110">
        <f>SUM(C60:Q60)</f>
        <v>13750</v>
      </c>
    </row>
    <row r="61" spans="1:18" ht="14.25">
      <c r="A61" s="130" t="s">
        <v>38</v>
      </c>
      <c r="B61" s="100"/>
      <c r="C61" s="119">
        <f>SUM(C57:C60)</f>
        <v>78275.65</v>
      </c>
      <c r="D61" s="100">
        <v>0</v>
      </c>
      <c r="E61" s="100">
        <f>SUM(E59:E60)</f>
        <v>5000</v>
      </c>
      <c r="F61" s="100">
        <f>SUM(F59)</f>
        <v>18700</v>
      </c>
      <c r="G61" s="100">
        <f>SUM(G59:G60)</f>
        <v>2500</v>
      </c>
      <c r="H61" s="100">
        <f>SUM(H59)</f>
        <v>40464</v>
      </c>
      <c r="I61" s="100">
        <v>0</v>
      </c>
      <c r="J61" s="100">
        <f>SUM(J59)</f>
        <v>0</v>
      </c>
      <c r="K61" s="100">
        <v>0</v>
      </c>
      <c r="L61" s="100">
        <f>SUM(L57:L60)</f>
        <v>1250</v>
      </c>
      <c r="M61" s="100">
        <v>0</v>
      </c>
      <c r="N61" s="100">
        <f>SUM(N59)</f>
        <v>0</v>
      </c>
      <c r="O61" s="100">
        <f>SUM(O57:O60)</f>
        <v>0</v>
      </c>
      <c r="P61" s="100">
        <v>0</v>
      </c>
      <c r="Q61" s="100"/>
      <c r="R61" s="112">
        <f>SUM(C61:P61)</f>
        <v>146189.65</v>
      </c>
    </row>
    <row r="62" spans="1:18" ht="15" thickBot="1">
      <c r="A62" s="131" t="s">
        <v>39</v>
      </c>
      <c r="B62" s="133"/>
      <c r="C62" s="120">
        <f>205535.55+32900+351660.05+78275.65</f>
        <v>668371.25</v>
      </c>
      <c r="D62" s="133">
        <v>0</v>
      </c>
      <c r="E62" s="133">
        <f>36550+5000</f>
        <v>41550</v>
      </c>
      <c r="F62" s="133">
        <f>19300+18700</f>
        <v>38000</v>
      </c>
      <c r="G62" s="133">
        <f>10867.5+50143+2500</f>
        <v>63510.5</v>
      </c>
      <c r="H62" s="133">
        <f>66528+45464+31648+40464</f>
        <v>184104</v>
      </c>
      <c r="I62" s="133">
        <v>0</v>
      </c>
      <c r="J62" s="133">
        <f>70000+278100</f>
        <v>348100</v>
      </c>
      <c r="K62" s="133">
        <v>0</v>
      </c>
      <c r="L62" s="133">
        <f>1150+1250</f>
        <v>2400</v>
      </c>
      <c r="M62" s="133">
        <v>0</v>
      </c>
      <c r="N62" s="133">
        <f>38000+62000</f>
        <v>100000</v>
      </c>
      <c r="O62" s="133">
        <f>152694</f>
        <v>152694</v>
      </c>
      <c r="P62" s="133">
        <v>0</v>
      </c>
      <c r="Q62" s="133"/>
      <c r="R62" s="113">
        <f>SUM(C62:Q62)</f>
        <v>1598729.75</v>
      </c>
    </row>
    <row r="63" spans="1:18" ht="15" thickTop="1">
      <c r="A63" s="134" t="s">
        <v>303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3"/>
      <c r="O63" s="124"/>
      <c r="P63" s="123"/>
      <c r="Q63" s="123"/>
      <c r="R63" s="124"/>
    </row>
    <row r="64" spans="1:18" ht="14.25">
      <c r="A64" s="134" t="s">
        <v>304</v>
      </c>
      <c r="B64" s="122"/>
      <c r="C64" s="122">
        <v>0</v>
      </c>
      <c r="D64" s="122"/>
      <c r="E64" s="122">
        <v>19214</v>
      </c>
      <c r="F64" s="122"/>
      <c r="G64" s="122">
        <v>0</v>
      </c>
      <c r="H64" s="122"/>
      <c r="I64" s="122"/>
      <c r="J64" s="122"/>
      <c r="K64" s="122"/>
      <c r="L64" s="122"/>
      <c r="M64" s="122"/>
      <c r="N64" s="122"/>
      <c r="O64" s="123"/>
      <c r="P64" s="122"/>
      <c r="Q64" s="122"/>
      <c r="R64" s="123">
        <f>SUM(C64:P64)</f>
        <v>19214</v>
      </c>
    </row>
    <row r="65" spans="1:18" ht="14.25">
      <c r="A65" s="130" t="s">
        <v>305</v>
      </c>
      <c r="B65" s="116"/>
      <c r="C65" s="116">
        <v>0</v>
      </c>
      <c r="D65" s="116"/>
      <c r="E65" s="116"/>
      <c r="F65" s="116"/>
      <c r="G65" s="116">
        <v>0</v>
      </c>
      <c r="H65" s="116"/>
      <c r="I65" s="116"/>
      <c r="J65" s="116"/>
      <c r="K65" s="116"/>
      <c r="L65" s="116"/>
      <c r="M65" s="116"/>
      <c r="N65" s="116"/>
      <c r="O65" s="110"/>
      <c r="P65" s="116"/>
      <c r="Q65" s="116"/>
      <c r="R65" s="110"/>
    </row>
    <row r="66" spans="1:18" ht="14.25">
      <c r="A66" s="134" t="s">
        <v>306</v>
      </c>
      <c r="B66" s="116"/>
      <c r="C66" s="116"/>
      <c r="D66" s="116"/>
      <c r="E66" s="116">
        <f>300</f>
        <v>300</v>
      </c>
      <c r="F66" s="116"/>
      <c r="G66" s="116"/>
      <c r="H66" s="116">
        <v>0</v>
      </c>
      <c r="I66" s="116"/>
      <c r="J66" s="116"/>
      <c r="K66" s="116"/>
      <c r="L66" s="116"/>
      <c r="M66" s="116"/>
      <c r="N66" s="116"/>
      <c r="O66" s="110"/>
      <c r="P66" s="116"/>
      <c r="Q66" s="116"/>
      <c r="R66" s="110">
        <f>SUM(C66:P66)</f>
        <v>300</v>
      </c>
    </row>
    <row r="67" spans="1:18" ht="14.25">
      <c r="A67" s="134" t="s">
        <v>307</v>
      </c>
      <c r="B67" s="116"/>
      <c r="C67" s="116"/>
      <c r="D67" s="116"/>
      <c r="E67" s="116"/>
      <c r="F67" s="116"/>
      <c r="G67" s="116"/>
      <c r="H67" s="116">
        <v>278537.52</v>
      </c>
      <c r="I67" s="116"/>
      <c r="J67" s="116"/>
      <c r="K67" s="116"/>
      <c r="L67" s="116"/>
      <c r="M67" s="116"/>
      <c r="N67" s="116"/>
      <c r="O67" s="110"/>
      <c r="P67" s="116"/>
      <c r="Q67" s="116"/>
      <c r="R67" s="110">
        <f>SUM(H67:Q67)</f>
        <v>278537.52</v>
      </c>
    </row>
    <row r="68" spans="1:18" ht="14.25">
      <c r="A68" s="134" t="s">
        <v>308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0"/>
      <c r="P68" s="116"/>
      <c r="Q68" s="116"/>
      <c r="R68" s="110"/>
    </row>
    <row r="69" spans="1:18" ht="14.25">
      <c r="A69" s="134" t="s">
        <v>309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>
        <v>0</v>
      </c>
      <c r="M69" s="116"/>
      <c r="N69" s="116"/>
      <c r="O69" s="110"/>
      <c r="P69" s="116"/>
      <c r="Q69" s="116"/>
      <c r="R69" s="110">
        <f>SUM(L69:Q69)</f>
        <v>0</v>
      </c>
    </row>
    <row r="70" spans="1:18" ht="14.25">
      <c r="A70" s="134" t="s">
        <v>310</v>
      </c>
      <c r="B70" s="116"/>
      <c r="C70" s="116">
        <v>0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0"/>
      <c r="P70" s="116"/>
      <c r="Q70" s="116"/>
      <c r="R70" s="110">
        <f>SUM(C70:Q70)</f>
        <v>0</v>
      </c>
    </row>
    <row r="71" spans="1:18" ht="14.25">
      <c r="A71" s="134" t="s">
        <v>311</v>
      </c>
      <c r="B71" s="116"/>
      <c r="C71" s="116">
        <v>11900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0"/>
      <c r="P71" s="116"/>
      <c r="Q71" s="116"/>
      <c r="R71" s="110">
        <f>SUM(C71:Q71)</f>
        <v>11900</v>
      </c>
    </row>
    <row r="72" spans="1:18" ht="14.25">
      <c r="A72" s="134" t="s">
        <v>312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0"/>
      <c r="P72" s="116"/>
      <c r="Q72" s="116"/>
      <c r="R72" s="110">
        <v>0</v>
      </c>
    </row>
    <row r="73" spans="1:18" ht="14.25">
      <c r="A73" s="134" t="s">
        <v>313</v>
      </c>
      <c r="B73" s="116"/>
      <c r="C73" s="116">
        <v>0</v>
      </c>
      <c r="D73" s="116"/>
      <c r="E73" s="116">
        <v>20700</v>
      </c>
      <c r="F73" s="116"/>
      <c r="G73" s="116"/>
      <c r="H73" s="116"/>
      <c r="I73" s="116"/>
      <c r="J73" s="116"/>
      <c r="K73" s="116"/>
      <c r="L73" s="116">
        <v>0</v>
      </c>
      <c r="M73" s="116"/>
      <c r="N73" s="116"/>
      <c r="O73" s="110"/>
      <c r="P73" s="116"/>
      <c r="Q73" s="116"/>
      <c r="R73" s="110">
        <f>SUM(C73:Q73)</f>
        <v>20700</v>
      </c>
    </row>
    <row r="74" spans="1:18" ht="14.25">
      <c r="A74" s="134" t="s">
        <v>314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0"/>
      <c r="P74" s="116"/>
      <c r="Q74" s="116"/>
      <c r="R74" s="110"/>
    </row>
    <row r="75" spans="1:18" ht="14.25">
      <c r="A75" s="134" t="s">
        <v>315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0"/>
      <c r="P75" s="116"/>
      <c r="Q75" s="116"/>
      <c r="R75" s="110"/>
    </row>
    <row r="76" spans="1:18" ht="14.25">
      <c r="A76" s="130" t="s">
        <v>38</v>
      </c>
      <c r="B76" s="100"/>
      <c r="C76" s="119">
        <f>SUM(C64:C75)</f>
        <v>11900</v>
      </c>
      <c r="D76" s="100">
        <f>SUM(D66:D75)</f>
        <v>0</v>
      </c>
      <c r="E76" s="100">
        <f>SUM(E64:E75)</f>
        <v>40214</v>
      </c>
      <c r="F76" s="100">
        <v>0</v>
      </c>
      <c r="G76" s="100">
        <f>SUM(G65)</f>
        <v>0</v>
      </c>
      <c r="H76" s="100">
        <f>SUM(H64:H75)</f>
        <v>278537.52</v>
      </c>
      <c r="I76" s="100">
        <v>0</v>
      </c>
      <c r="J76" s="100">
        <v>0</v>
      </c>
      <c r="K76" s="100">
        <v>0</v>
      </c>
      <c r="L76" s="100">
        <f>SUM(L65:L75)</f>
        <v>0</v>
      </c>
      <c r="M76" s="100">
        <v>0</v>
      </c>
      <c r="N76" s="100">
        <v>0</v>
      </c>
      <c r="O76" s="100">
        <v>0</v>
      </c>
      <c r="P76" s="100">
        <v>0</v>
      </c>
      <c r="Q76" s="100"/>
      <c r="R76" s="112">
        <f>SUM(R64:R75)</f>
        <v>330651.52</v>
      </c>
    </row>
    <row r="77" spans="1:18" ht="15" thickBot="1">
      <c r="A77" s="131" t="s">
        <v>39</v>
      </c>
      <c r="B77" s="133"/>
      <c r="C77" s="120">
        <f>44800+8040+18250+11900</f>
        <v>82990</v>
      </c>
      <c r="D77" s="133">
        <v>0</v>
      </c>
      <c r="E77" s="133">
        <f>132291+5740+260+40214</f>
        <v>178505</v>
      </c>
      <c r="F77" s="133">
        <v>0</v>
      </c>
      <c r="G77" s="133">
        <v>0</v>
      </c>
      <c r="H77" s="133">
        <f>149567.6+74656.4+278537.52</f>
        <v>502761.52</v>
      </c>
      <c r="I77" s="133">
        <v>0</v>
      </c>
      <c r="J77" s="133">
        <v>0</v>
      </c>
      <c r="K77" s="133">
        <v>0</v>
      </c>
      <c r="L77" s="133">
        <f>20740+1500</f>
        <v>22240</v>
      </c>
      <c r="M77" s="133">
        <v>0</v>
      </c>
      <c r="N77" s="133">
        <v>0</v>
      </c>
      <c r="O77" s="133">
        <v>0</v>
      </c>
      <c r="P77" s="133">
        <v>0</v>
      </c>
      <c r="Q77" s="133"/>
      <c r="R77" s="113">
        <f>SUM(C77:Q77)</f>
        <v>786496.52</v>
      </c>
    </row>
    <row r="78" ht="15" thickTop="1"/>
    <row r="81" spans="1:18" s="104" customFormat="1" ht="13.5" customHeight="1">
      <c r="A81" s="105" t="s">
        <v>122</v>
      </c>
      <c r="B81" s="320" t="s">
        <v>99</v>
      </c>
      <c r="C81" s="321" t="s">
        <v>100</v>
      </c>
      <c r="D81" s="321"/>
      <c r="E81" s="321"/>
      <c r="F81" s="127" t="s">
        <v>101</v>
      </c>
      <c r="G81" s="321" t="s">
        <v>102</v>
      </c>
      <c r="H81" s="321"/>
      <c r="I81" s="321" t="s">
        <v>103</v>
      </c>
      <c r="J81" s="321"/>
      <c r="K81" s="127" t="s">
        <v>104</v>
      </c>
      <c r="L81" s="321" t="s">
        <v>105</v>
      </c>
      <c r="M81" s="321"/>
      <c r="N81" s="321" t="s">
        <v>106</v>
      </c>
      <c r="O81" s="321"/>
      <c r="P81" s="324" t="s">
        <v>120</v>
      </c>
      <c r="Q81" s="325"/>
      <c r="R81" s="318" t="s">
        <v>20</v>
      </c>
    </row>
    <row r="82" spans="1:18" s="104" customFormat="1" ht="13.5" customHeight="1">
      <c r="A82" s="106" t="s">
        <v>123</v>
      </c>
      <c r="B82" s="320"/>
      <c r="C82" s="127" t="s">
        <v>107</v>
      </c>
      <c r="D82" s="127" t="s">
        <v>118</v>
      </c>
      <c r="E82" s="127" t="s">
        <v>108</v>
      </c>
      <c r="F82" s="127" t="s">
        <v>109</v>
      </c>
      <c r="G82" s="127" t="s">
        <v>110</v>
      </c>
      <c r="H82" s="127" t="s">
        <v>111</v>
      </c>
      <c r="I82" s="127" t="s">
        <v>112</v>
      </c>
      <c r="J82" s="127" t="s">
        <v>113</v>
      </c>
      <c r="K82" s="127" t="s">
        <v>119</v>
      </c>
      <c r="L82" s="127" t="s">
        <v>114</v>
      </c>
      <c r="M82" s="127" t="s">
        <v>115</v>
      </c>
      <c r="N82" s="127" t="s">
        <v>116</v>
      </c>
      <c r="O82" s="127" t="s">
        <v>117</v>
      </c>
      <c r="P82" s="127" t="s">
        <v>341</v>
      </c>
      <c r="Q82" s="242" t="s">
        <v>121</v>
      </c>
      <c r="R82" s="319"/>
    </row>
    <row r="83" spans="1:18" ht="13.5" customHeight="1">
      <c r="A83" s="132" t="s">
        <v>316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</row>
    <row r="84" spans="1:18" ht="13.5" customHeight="1">
      <c r="A84" s="134" t="s">
        <v>317</v>
      </c>
      <c r="B84" s="107"/>
      <c r="C84" s="107">
        <f>716+11336.38</f>
        <v>12052.38</v>
      </c>
      <c r="D84" s="107"/>
      <c r="E84" s="107"/>
      <c r="F84" s="107"/>
      <c r="G84" s="107">
        <v>1443.74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>
        <f>SUM(C84:P84)</f>
        <v>13496.119999999999</v>
      </c>
    </row>
    <row r="85" spans="1:18" ht="13.5" customHeight="1">
      <c r="A85" s="130" t="s">
        <v>318</v>
      </c>
      <c r="B85" s="110"/>
      <c r="C85" s="110">
        <v>230</v>
      </c>
      <c r="D85" s="110"/>
      <c r="E85" s="110"/>
      <c r="F85" s="110"/>
      <c r="G85" s="110">
        <v>20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250</v>
      </c>
    </row>
    <row r="86" spans="1:18" ht="13.5" customHeight="1">
      <c r="A86" s="130" t="s">
        <v>319</v>
      </c>
      <c r="B86" s="110"/>
      <c r="C86" s="110">
        <v>0</v>
      </c>
      <c r="D86" s="110"/>
      <c r="E86" s="110"/>
      <c r="F86" s="110"/>
      <c r="G86" s="110">
        <v>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>
        <f>SUM(C86:P86)</f>
        <v>0</v>
      </c>
    </row>
    <row r="87" spans="1:18" ht="13.5" customHeight="1">
      <c r="A87" s="129" t="s">
        <v>320</v>
      </c>
      <c r="B87" s="110"/>
      <c r="C87" s="110">
        <v>0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>
        <f>SUM(C87)</f>
        <v>0</v>
      </c>
    </row>
    <row r="88" spans="1:18" ht="13.5" customHeight="1">
      <c r="A88" s="130" t="s">
        <v>321</v>
      </c>
      <c r="B88" s="111"/>
      <c r="C88" s="111">
        <v>0</v>
      </c>
      <c r="D88" s="111"/>
      <c r="E88" s="111"/>
      <c r="F88" s="111"/>
      <c r="G88" s="111">
        <v>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>
        <f>SUM(C88:P88)</f>
        <v>0</v>
      </c>
    </row>
    <row r="89" spans="1:18" ht="13.5" customHeight="1">
      <c r="A89" s="130" t="s">
        <v>38</v>
      </c>
      <c r="B89" s="100"/>
      <c r="C89" s="100">
        <f>SUM(C84:C88)</f>
        <v>12282.38</v>
      </c>
      <c r="D89" s="100">
        <v>0</v>
      </c>
      <c r="E89" s="100">
        <v>0</v>
      </c>
      <c r="F89" s="100">
        <v>0</v>
      </c>
      <c r="G89" s="100">
        <f>SUM(G84:G88)</f>
        <v>1463.74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100"/>
      <c r="R89" s="112">
        <f>SUM(R84:R88)</f>
        <v>13746.119999999999</v>
      </c>
    </row>
    <row r="90" spans="1:18" ht="13.5" customHeight="1" thickBot="1">
      <c r="A90" s="131" t="s">
        <v>39</v>
      </c>
      <c r="B90" s="100"/>
      <c r="C90" s="100">
        <f>59629.3+13880+19133.5+12282.38</f>
        <v>104925.18000000001</v>
      </c>
      <c r="D90" s="100">
        <v>0</v>
      </c>
      <c r="E90" s="100">
        <v>0</v>
      </c>
      <c r="F90" s="100">
        <v>0</v>
      </c>
      <c r="G90" s="100">
        <f>15016.78+40+5023.51+1463.74</f>
        <v>21544.030000000002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240"/>
      <c r="R90" s="113">
        <f>SUM(C90:P90)</f>
        <v>126469.21</v>
      </c>
    </row>
    <row r="91" spans="1:18" ht="13.5" customHeight="1" thickTop="1">
      <c r="A91" s="132" t="s">
        <v>322</v>
      </c>
      <c r="B91" s="114"/>
      <c r="C91" s="114"/>
      <c r="D91" s="114"/>
      <c r="E91" s="114"/>
      <c r="F91" s="114"/>
      <c r="G91" s="114"/>
      <c r="H91" s="114"/>
      <c r="I91" s="114"/>
      <c r="J91" s="124"/>
      <c r="K91" s="114"/>
      <c r="L91" s="114"/>
      <c r="M91" s="114"/>
      <c r="N91" s="114"/>
      <c r="O91" s="115"/>
      <c r="P91" s="114"/>
      <c r="Q91" s="114"/>
      <c r="R91" s="115"/>
    </row>
    <row r="92" spans="1:18" ht="13.5" customHeight="1">
      <c r="A92" s="130" t="s">
        <v>323</v>
      </c>
      <c r="B92" s="116"/>
      <c r="C92" s="116"/>
      <c r="D92" s="116"/>
      <c r="E92" s="116"/>
      <c r="F92" s="116"/>
      <c r="G92" s="116">
        <v>0</v>
      </c>
      <c r="H92" s="116"/>
      <c r="I92" s="116"/>
      <c r="J92" s="122"/>
      <c r="K92" s="116"/>
      <c r="L92" s="116"/>
      <c r="M92" s="116"/>
      <c r="N92" s="116"/>
      <c r="O92" s="110"/>
      <c r="P92" s="116"/>
      <c r="Q92" s="116"/>
      <c r="R92" s="110">
        <f>SUM(G92:Q92)</f>
        <v>0</v>
      </c>
    </row>
    <row r="93" spans="1:18" ht="13.5" customHeight="1">
      <c r="A93" s="130" t="s">
        <v>324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0"/>
      <c r="P93" s="116"/>
      <c r="Q93" s="116"/>
      <c r="R93" s="110"/>
    </row>
    <row r="94" spans="1:18" ht="13.5" customHeight="1">
      <c r="A94" s="130" t="s">
        <v>325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0"/>
      <c r="P94" s="116"/>
      <c r="Q94" s="116"/>
      <c r="R94" s="110"/>
    </row>
    <row r="95" spans="1:18" ht="13.5" customHeight="1">
      <c r="A95" s="130" t="s">
        <v>326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0"/>
      <c r="P95" s="116"/>
      <c r="Q95" s="116"/>
      <c r="R95" s="110"/>
    </row>
    <row r="96" spans="1:18" ht="13.5" customHeight="1">
      <c r="A96" s="130" t="s">
        <v>327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0"/>
      <c r="P96" s="116"/>
      <c r="Q96" s="116"/>
      <c r="R96" s="110"/>
    </row>
    <row r="97" spans="1:18" ht="13.5" customHeight="1">
      <c r="A97" s="134" t="s">
        <v>328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3"/>
      <c r="P97" s="122"/>
      <c r="Q97" s="122"/>
      <c r="R97" s="123"/>
    </row>
    <row r="98" spans="1:18" ht="13.5" customHeight="1">
      <c r="A98" s="130" t="s">
        <v>329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0"/>
      <c r="P98" s="116"/>
      <c r="Q98" s="116"/>
      <c r="R98" s="110"/>
    </row>
    <row r="99" spans="1:18" ht="13.5" customHeight="1">
      <c r="A99" s="134" t="s">
        <v>330</v>
      </c>
      <c r="B99" s="117"/>
      <c r="C99" s="117">
        <v>0</v>
      </c>
      <c r="D99" s="117"/>
      <c r="E99" s="117"/>
      <c r="F99" s="117"/>
      <c r="G99" s="117">
        <v>0</v>
      </c>
      <c r="H99" s="193"/>
      <c r="I99" s="117"/>
      <c r="J99" s="117"/>
      <c r="K99" s="117"/>
      <c r="L99" s="117">
        <v>5350</v>
      </c>
      <c r="M99" s="117"/>
      <c r="N99" s="117"/>
      <c r="O99" s="107"/>
      <c r="P99" s="117"/>
      <c r="Q99" s="117"/>
      <c r="R99" s="264">
        <f>SUM(L99:Q99)</f>
        <v>5350</v>
      </c>
    </row>
    <row r="100" spans="1:18" ht="13.5" customHeight="1">
      <c r="A100" s="130" t="s">
        <v>38</v>
      </c>
      <c r="B100" s="100"/>
      <c r="C100" s="100">
        <f>SUM(C99)</f>
        <v>0</v>
      </c>
      <c r="D100" s="100">
        <v>0</v>
      </c>
      <c r="E100" s="100">
        <v>0</v>
      </c>
      <c r="F100" s="100">
        <v>0</v>
      </c>
      <c r="G100" s="112">
        <f>SUM(G92)</f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f>SUM(L99)</f>
        <v>5350</v>
      </c>
      <c r="M100" s="100">
        <v>0</v>
      </c>
      <c r="N100" s="100">
        <v>0</v>
      </c>
      <c r="O100" s="100">
        <v>0</v>
      </c>
      <c r="P100" s="100">
        <v>0</v>
      </c>
      <c r="Q100" s="100"/>
      <c r="R100" s="112">
        <f>SUM(L100)</f>
        <v>5350</v>
      </c>
    </row>
    <row r="101" spans="1:18" ht="13.5" customHeight="1" thickBot="1">
      <c r="A101" s="131" t="s">
        <v>39</v>
      </c>
      <c r="B101" s="133"/>
      <c r="C101" s="133">
        <f>13060.45</f>
        <v>13060.45</v>
      </c>
      <c r="D101" s="133">
        <v>0</v>
      </c>
      <c r="E101" s="133">
        <v>0</v>
      </c>
      <c r="F101" s="133">
        <v>0</v>
      </c>
      <c r="G101" s="133">
        <v>55000</v>
      </c>
      <c r="H101" s="133">
        <v>0</v>
      </c>
      <c r="I101" s="133">
        <v>0</v>
      </c>
      <c r="J101" s="133">
        <v>0</v>
      </c>
      <c r="K101" s="133">
        <v>0</v>
      </c>
      <c r="L101" s="133">
        <f>5350</f>
        <v>5350</v>
      </c>
      <c r="M101" s="133">
        <v>0</v>
      </c>
      <c r="N101" s="133">
        <v>0</v>
      </c>
      <c r="O101" s="133">
        <v>0</v>
      </c>
      <c r="P101" s="133">
        <v>0</v>
      </c>
      <c r="Q101" s="133"/>
      <c r="R101" s="113">
        <f>SUM(C101:Q101)</f>
        <v>73410.45</v>
      </c>
    </row>
    <row r="102" spans="1:18" ht="13.5" customHeight="1" thickTop="1">
      <c r="A102" s="134" t="s">
        <v>331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3"/>
      <c r="O102" s="123"/>
      <c r="P102" s="123"/>
      <c r="Q102" s="123"/>
      <c r="R102" s="124"/>
    </row>
    <row r="103" spans="1:18" ht="13.5" customHeight="1">
      <c r="A103" s="134" t="s">
        <v>332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3"/>
      <c r="P103" s="122"/>
      <c r="Q103" s="122"/>
      <c r="R103" s="123"/>
    </row>
    <row r="104" spans="1:18" ht="13.5" customHeight="1">
      <c r="A104" s="134" t="s">
        <v>333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3"/>
      <c r="P104" s="122"/>
      <c r="Q104" s="122"/>
      <c r="R104" s="123"/>
    </row>
    <row r="105" spans="1:18" ht="13.5" customHeight="1">
      <c r="A105" s="130" t="s">
        <v>334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0"/>
      <c r="P105" s="116"/>
      <c r="Q105" s="116">
        <v>0</v>
      </c>
      <c r="R105" s="110">
        <f>SUM(Q105)</f>
        <v>0</v>
      </c>
    </row>
    <row r="106" spans="1:18" ht="13.5" customHeight="1">
      <c r="A106" s="130" t="s">
        <v>38</v>
      </c>
      <c r="B106" s="100"/>
      <c r="C106" s="100">
        <f>SUM(C104:C105)</f>
        <v>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100">
        <v>0</v>
      </c>
      <c r="P106" s="100">
        <v>0</v>
      </c>
      <c r="Q106" s="100">
        <v>0</v>
      </c>
      <c r="R106" s="100">
        <f>SUM(D106:Q106)</f>
        <v>0</v>
      </c>
    </row>
    <row r="107" spans="1:18" ht="13.5" customHeight="1" thickBot="1">
      <c r="A107" s="131" t="s">
        <v>39</v>
      </c>
      <c r="B107" s="133"/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v>0</v>
      </c>
      <c r="R107" s="113">
        <f>SUM(Q107)</f>
        <v>0</v>
      </c>
    </row>
    <row r="108" spans="1:18" ht="13.5" customHeight="1" thickTop="1">
      <c r="A108" s="134" t="s">
        <v>335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3"/>
      <c r="N108" s="122"/>
      <c r="O108" s="124"/>
      <c r="P108" s="122"/>
      <c r="Q108" s="122"/>
      <c r="R108" s="110"/>
    </row>
    <row r="109" spans="1:18" ht="13.5" customHeight="1">
      <c r="A109" s="134" t="s">
        <v>336</v>
      </c>
      <c r="B109" s="110"/>
      <c r="C109" s="116">
        <v>0</v>
      </c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0"/>
      <c r="P109" s="116"/>
      <c r="Q109" s="116"/>
      <c r="R109" s="110">
        <f>SUM(C109:Q109)</f>
        <v>0</v>
      </c>
    </row>
    <row r="110" spans="1:18" ht="13.5" customHeight="1">
      <c r="A110" s="134" t="s">
        <v>337</v>
      </c>
      <c r="B110" s="117"/>
      <c r="C110" s="116">
        <v>0</v>
      </c>
      <c r="D110" s="116"/>
      <c r="E110" s="116"/>
      <c r="F110" s="116"/>
      <c r="G110" s="116"/>
      <c r="H110" s="116">
        <v>0</v>
      </c>
      <c r="I110" s="116"/>
      <c r="J110" s="116"/>
      <c r="K110" s="116"/>
      <c r="L110" s="116"/>
      <c r="M110" s="116"/>
      <c r="N110" s="116"/>
      <c r="O110" s="116">
        <v>0</v>
      </c>
      <c r="P110" s="110"/>
      <c r="Q110" s="110"/>
      <c r="R110" s="110">
        <f>SUM(C110:P110)</f>
        <v>0</v>
      </c>
    </row>
    <row r="111" spans="1:18" ht="13.5" customHeight="1">
      <c r="A111" s="130" t="s">
        <v>338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0"/>
      <c r="Q111" s="110"/>
      <c r="R111" s="110">
        <f>SUM(C111:P111)</f>
        <v>0</v>
      </c>
    </row>
    <row r="112" spans="1:18" ht="13.5" customHeight="1">
      <c r="A112" s="130" t="s">
        <v>38</v>
      </c>
      <c r="B112" s="100"/>
      <c r="C112" s="100">
        <f>SUM(C109:C111)</f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f>SUM(H110)</f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f>SUM(M108:M111)</f>
        <v>0</v>
      </c>
      <c r="N112" s="100">
        <f>SUM(N110:N111)</f>
        <v>0</v>
      </c>
      <c r="O112" s="100">
        <f>SUM(O110:O111)</f>
        <v>0</v>
      </c>
      <c r="P112" s="100">
        <f>SUM(P108:P111)</f>
        <v>0</v>
      </c>
      <c r="Q112" s="100"/>
      <c r="R112" s="100">
        <f>SUM(C112:P112)</f>
        <v>0</v>
      </c>
    </row>
    <row r="113" spans="1:18" ht="13.5" customHeight="1" thickBot="1">
      <c r="A113" s="131" t="s">
        <v>39</v>
      </c>
      <c r="B113" s="133"/>
      <c r="C113" s="133">
        <f>61000</f>
        <v>61000</v>
      </c>
      <c r="D113" s="133">
        <v>0</v>
      </c>
      <c r="E113" s="133">
        <v>0</v>
      </c>
      <c r="F113" s="133">
        <v>0</v>
      </c>
      <c r="G113" s="133">
        <v>0</v>
      </c>
      <c r="H113" s="133">
        <f>601600+411640</f>
        <v>1013240</v>
      </c>
      <c r="I113" s="133">
        <v>0</v>
      </c>
      <c r="J113" s="133">
        <v>0</v>
      </c>
      <c r="K113" s="133">
        <v>0</v>
      </c>
      <c r="L113" s="133">
        <v>0</v>
      </c>
      <c r="M113" s="133">
        <v>0</v>
      </c>
      <c r="N113" s="133">
        <f>SUM(N111:N112)</f>
        <v>0</v>
      </c>
      <c r="O113" s="133">
        <v>0</v>
      </c>
      <c r="P113" s="133">
        <v>0</v>
      </c>
      <c r="Q113" s="133"/>
      <c r="R113" s="133">
        <f>SUM(C113:P113)</f>
        <v>1074240</v>
      </c>
    </row>
    <row r="114" spans="1:18" ht="13.5" customHeight="1" thickTop="1">
      <c r="A114" s="134" t="s">
        <v>339</v>
      </c>
      <c r="B114" s="117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3"/>
      <c r="P114" s="122"/>
      <c r="Q114" s="122"/>
      <c r="R114" s="123"/>
    </row>
    <row r="115" spans="1:18" ht="13.5" customHeight="1">
      <c r="A115" s="134" t="s">
        <v>340</v>
      </c>
      <c r="B115" s="118"/>
      <c r="C115" s="117"/>
      <c r="D115" s="117">
        <v>0</v>
      </c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07"/>
      <c r="P115" s="117"/>
      <c r="Q115" s="117"/>
      <c r="R115" s="107">
        <f>SUM(B115:P115)</f>
        <v>0</v>
      </c>
    </row>
    <row r="116" spans="1:18" ht="13.5" customHeight="1">
      <c r="A116" s="130" t="s">
        <v>38</v>
      </c>
      <c r="B116" s="100">
        <v>0</v>
      </c>
      <c r="C116" s="100">
        <v>0</v>
      </c>
      <c r="D116" s="100">
        <f>SUM(D115)</f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0">
        <v>0</v>
      </c>
      <c r="P116" s="100">
        <v>0</v>
      </c>
      <c r="Q116" s="100"/>
      <c r="R116" s="100">
        <f>SUM(B116:P116)</f>
        <v>0</v>
      </c>
    </row>
    <row r="117" spans="1:18" ht="13.5" customHeight="1" thickBot="1">
      <c r="A117" s="131" t="s">
        <v>39</v>
      </c>
      <c r="B117" s="133">
        <v>0</v>
      </c>
      <c r="C117" s="133">
        <v>0</v>
      </c>
      <c r="D117" s="133">
        <v>0</v>
      </c>
      <c r="E117" s="133">
        <v>0</v>
      </c>
      <c r="F117" s="133">
        <v>0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0</v>
      </c>
      <c r="N117" s="133">
        <v>0</v>
      </c>
      <c r="O117" s="133">
        <v>0</v>
      </c>
      <c r="P117" s="133">
        <v>0</v>
      </c>
      <c r="Q117" s="133"/>
      <c r="R117" s="133">
        <f>SUM(B117:P117)</f>
        <v>0</v>
      </c>
    </row>
    <row r="118" spans="1:18" ht="13.5" customHeight="1" thickTop="1">
      <c r="A118" s="130" t="s">
        <v>38</v>
      </c>
      <c r="B118" s="112">
        <f>SUM(B13)</f>
        <v>8874</v>
      </c>
      <c r="C118" s="100">
        <f>SUM(C22+C28+C33+C46+C54+C61+C76+C89+C100+C106++C112)</f>
        <v>570418.03</v>
      </c>
      <c r="D118" s="192">
        <f>SUM(D117)</f>
        <v>0</v>
      </c>
      <c r="E118" s="192">
        <f>SUM(E22+E28+E33+E46+E54+E61+E76+E89+E100+E106+E112)</f>
        <v>178609</v>
      </c>
      <c r="F118" s="192">
        <f>SUM(F61)</f>
        <v>18700</v>
      </c>
      <c r="G118" s="192">
        <f>SUM(G28+G46+G54+G61+G76+G89+G100+G106+G112)</f>
        <v>68094.74</v>
      </c>
      <c r="H118" s="192">
        <f>SUM(H46+H61+H112+H76)</f>
        <v>324701.52</v>
      </c>
      <c r="I118" s="192">
        <f>SUM(I46+I54+I61+I76+I89+I100+I106+I112)</f>
        <v>9000</v>
      </c>
      <c r="J118" s="192">
        <f>SUM(J46+J54+J61+J76+J89+J100+J106+J112)</f>
        <v>0</v>
      </c>
      <c r="K118" s="192">
        <v>0</v>
      </c>
      <c r="L118" s="192">
        <f>SUM(L28+L33+L46+L54+L61+L76+L89+L100+L106+L112)</f>
        <v>80370</v>
      </c>
      <c r="M118" s="192">
        <v>0</v>
      </c>
      <c r="N118" s="192">
        <f>SUM(N61)</f>
        <v>0</v>
      </c>
      <c r="O118" s="192">
        <f>SUM(O13+O22+O28+O33+O46+O54+O61+O76+O89+O100+O106+O112)</f>
        <v>0</v>
      </c>
      <c r="P118" s="192">
        <v>0</v>
      </c>
      <c r="Q118" s="192">
        <f>SUM(Q106)</f>
        <v>0</v>
      </c>
      <c r="R118" s="112">
        <f>SUM(B118:Q118)</f>
        <v>1258767.29</v>
      </c>
    </row>
    <row r="119" spans="1:18" ht="13.5" customHeight="1" thickBot="1">
      <c r="A119" s="131" t="s">
        <v>39</v>
      </c>
      <c r="B119" s="113">
        <f>319754+29919+6643+8874</f>
        <v>365190</v>
      </c>
      <c r="C119" s="133">
        <f>2210710.3+523329+854001.55+570418</f>
        <v>4158458.8499999996</v>
      </c>
      <c r="D119" s="133">
        <v>0</v>
      </c>
      <c r="E119" s="133">
        <f>692181+135495+130015+178609</f>
        <v>1136300</v>
      </c>
      <c r="F119" s="133">
        <f>19300+18700</f>
        <v>38000</v>
      </c>
      <c r="G119" s="133">
        <f>278974.28+91543+47883.51+68094.74</f>
        <v>486495.53</v>
      </c>
      <c r="H119" s="133">
        <f>817695.6+464704+112004.4+324701.52</f>
        <v>1719105.52</v>
      </c>
      <c r="I119" s="133">
        <f>36000+9000+9000+9000</f>
        <v>63000</v>
      </c>
      <c r="J119" s="133">
        <f>70000+278100</f>
        <v>348100</v>
      </c>
      <c r="K119" s="133">
        <v>0</v>
      </c>
      <c r="L119" s="133">
        <f>308070+79570+67770+80370</f>
        <v>535780</v>
      </c>
      <c r="M119" s="133">
        <v>0</v>
      </c>
      <c r="N119" s="133">
        <f>38000+62000</f>
        <v>100000</v>
      </c>
      <c r="O119" s="133">
        <f>152694</f>
        <v>152694</v>
      </c>
      <c r="P119" s="133">
        <v>0</v>
      </c>
      <c r="Q119" s="133">
        <v>0</v>
      </c>
      <c r="R119" s="113">
        <f>SUM(B119:Q119)</f>
        <v>9103123.9</v>
      </c>
    </row>
    <row r="120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28">
      <selection activeCell="D7" sqref="D7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3" customWidth="1"/>
    <col min="4" max="4" width="45.8515625" style="58" customWidth="1"/>
    <col min="5" max="5" width="15.8515625" style="224" customWidth="1"/>
    <col min="6" max="16384" width="9.140625" style="58" customWidth="1"/>
  </cols>
  <sheetData>
    <row r="1" spans="1:5" ht="21">
      <c r="A1" s="273" t="s">
        <v>526</v>
      </c>
      <c r="B1" s="273"/>
      <c r="C1" s="273"/>
      <c r="D1" s="273"/>
      <c r="E1" s="273"/>
    </row>
    <row r="2" spans="1:5" ht="21">
      <c r="A2" s="273" t="s">
        <v>263</v>
      </c>
      <c r="B2" s="273"/>
      <c r="C2" s="273"/>
      <c r="D2" s="273"/>
      <c r="E2" s="273"/>
    </row>
    <row r="3" spans="1:8" ht="21">
      <c r="A3" s="216" t="s">
        <v>144</v>
      </c>
      <c r="B3" s="216" t="s">
        <v>145</v>
      </c>
      <c r="C3" s="217" t="s">
        <v>146</v>
      </c>
      <c r="D3" s="216" t="s">
        <v>147</v>
      </c>
      <c r="E3" s="218" t="s">
        <v>148</v>
      </c>
      <c r="H3" s="58" t="s">
        <v>470</v>
      </c>
    </row>
    <row r="4" spans="1:5" ht="21">
      <c r="A4" s="219">
        <v>1</v>
      </c>
      <c r="B4" s="252">
        <v>21199</v>
      </c>
      <c r="C4" s="220" t="s">
        <v>488</v>
      </c>
      <c r="D4" s="219" t="s">
        <v>489</v>
      </c>
      <c r="E4" s="221">
        <v>50000</v>
      </c>
    </row>
    <row r="5" spans="1:5" ht="21">
      <c r="A5" s="219">
        <v>2</v>
      </c>
      <c r="B5" s="252">
        <v>21204</v>
      </c>
      <c r="C5" s="220" t="s">
        <v>490</v>
      </c>
      <c r="D5" s="219" t="s">
        <v>491</v>
      </c>
      <c r="E5" s="221">
        <v>50000</v>
      </c>
    </row>
    <row r="6" spans="1:5" ht="21">
      <c r="A6" s="219">
        <v>3</v>
      </c>
      <c r="B6" s="252">
        <v>21085</v>
      </c>
      <c r="C6" s="220" t="s">
        <v>392</v>
      </c>
      <c r="D6" s="219" t="s">
        <v>230</v>
      </c>
      <c r="E6" s="221">
        <v>44000</v>
      </c>
    </row>
    <row r="7" spans="1:5" ht="21">
      <c r="A7" s="219">
        <v>4</v>
      </c>
      <c r="B7" s="252">
        <v>21152</v>
      </c>
      <c r="C7" s="220" t="s">
        <v>475</v>
      </c>
      <c r="D7" s="219" t="s">
        <v>231</v>
      </c>
      <c r="E7" s="221">
        <v>40000</v>
      </c>
    </row>
    <row r="8" spans="1:5" ht="21">
      <c r="A8" s="219">
        <v>5</v>
      </c>
      <c r="B8" s="252">
        <v>240127</v>
      </c>
      <c r="C8" s="220" t="s">
        <v>393</v>
      </c>
      <c r="D8" s="219" t="s">
        <v>232</v>
      </c>
      <c r="E8" s="221">
        <v>16000</v>
      </c>
    </row>
    <row r="9" spans="1:5" ht="21">
      <c r="A9" s="219">
        <v>6</v>
      </c>
      <c r="B9" s="252">
        <v>21183</v>
      </c>
      <c r="C9" s="220" t="s">
        <v>484</v>
      </c>
      <c r="D9" s="219" t="s">
        <v>233</v>
      </c>
      <c r="E9" s="221">
        <v>76000</v>
      </c>
    </row>
    <row r="10" spans="1:5" ht="21">
      <c r="A10" s="219">
        <v>7</v>
      </c>
      <c r="B10" s="252">
        <v>21101</v>
      </c>
      <c r="C10" s="220" t="s">
        <v>405</v>
      </c>
      <c r="D10" s="219" t="s">
        <v>406</v>
      </c>
      <c r="E10" s="221">
        <v>24000</v>
      </c>
    </row>
    <row r="11" spans="1:5" ht="21">
      <c r="A11" s="219">
        <v>8</v>
      </c>
      <c r="B11" s="252">
        <v>21075</v>
      </c>
      <c r="C11" s="220" t="s">
        <v>394</v>
      </c>
      <c r="D11" s="219" t="s">
        <v>234</v>
      </c>
      <c r="E11" s="221">
        <v>40000</v>
      </c>
    </row>
    <row r="12" spans="1:5" ht="21">
      <c r="A12" s="219">
        <v>9</v>
      </c>
      <c r="B12" s="252">
        <v>240133</v>
      </c>
      <c r="C12" s="220" t="s">
        <v>395</v>
      </c>
      <c r="D12" s="219" t="s">
        <v>235</v>
      </c>
      <c r="E12" s="221">
        <v>30000</v>
      </c>
    </row>
    <row r="13" spans="1:5" ht="21">
      <c r="A13" s="219">
        <v>10</v>
      </c>
      <c r="B13" s="252">
        <v>21096</v>
      </c>
      <c r="C13" s="220" t="s">
        <v>403</v>
      </c>
      <c r="D13" s="219" t="s">
        <v>404</v>
      </c>
      <c r="E13" s="221">
        <v>30000</v>
      </c>
    </row>
    <row r="14" spans="1:5" ht="21">
      <c r="A14" s="219">
        <v>11</v>
      </c>
      <c r="B14" s="252">
        <v>21144</v>
      </c>
      <c r="C14" s="220" t="s">
        <v>474</v>
      </c>
      <c r="D14" s="219" t="s">
        <v>236</v>
      </c>
      <c r="E14" s="221">
        <v>100000</v>
      </c>
    </row>
    <row r="15" spans="1:5" ht="21">
      <c r="A15" s="219">
        <v>12</v>
      </c>
      <c r="B15" s="252">
        <v>20871</v>
      </c>
      <c r="C15" s="220" t="s">
        <v>396</v>
      </c>
      <c r="D15" s="219" t="s">
        <v>237</v>
      </c>
      <c r="E15" s="221">
        <v>40000</v>
      </c>
    </row>
    <row r="16" spans="1:5" ht="21">
      <c r="A16" s="219">
        <v>13</v>
      </c>
      <c r="B16" s="252">
        <v>240147</v>
      </c>
      <c r="C16" s="220" t="s">
        <v>397</v>
      </c>
      <c r="D16" s="219" t="s">
        <v>238</v>
      </c>
      <c r="E16" s="221">
        <v>39000</v>
      </c>
    </row>
    <row r="17" spans="1:5" ht="21">
      <c r="A17" s="219">
        <v>14</v>
      </c>
      <c r="B17" s="252">
        <v>21143</v>
      </c>
      <c r="C17" s="220" t="s">
        <v>473</v>
      </c>
      <c r="D17" s="219" t="s">
        <v>398</v>
      </c>
      <c r="E17" s="221">
        <v>100000</v>
      </c>
    </row>
    <row r="18" spans="1:5" ht="21">
      <c r="A18" s="219">
        <v>15</v>
      </c>
      <c r="B18" s="252">
        <v>21047</v>
      </c>
      <c r="C18" s="220" t="s">
        <v>397</v>
      </c>
      <c r="D18" s="219" t="s">
        <v>266</v>
      </c>
      <c r="E18" s="221">
        <v>47000</v>
      </c>
    </row>
    <row r="19" spans="1:5" ht="21">
      <c r="A19" s="219">
        <v>16</v>
      </c>
      <c r="B19" s="252">
        <v>21066</v>
      </c>
      <c r="C19" s="220" t="s">
        <v>399</v>
      </c>
      <c r="D19" s="219" t="s">
        <v>400</v>
      </c>
      <c r="E19" s="221">
        <v>40000</v>
      </c>
    </row>
    <row r="20" spans="1:5" ht="21">
      <c r="A20" s="219">
        <v>17</v>
      </c>
      <c r="B20" s="252">
        <v>21206</v>
      </c>
      <c r="C20" s="220" t="s">
        <v>493</v>
      </c>
      <c r="D20" s="219" t="s">
        <v>494</v>
      </c>
      <c r="E20" s="221">
        <v>13000</v>
      </c>
    </row>
    <row r="21" spans="1:5" ht="21">
      <c r="A21" s="219">
        <v>18</v>
      </c>
      <c r="B21" s="252">
        <v>237770</v>
      </c>
      <c r="C21" s="220" t="s">
        <v>240</v>
      </c>
      <c r="D21" s="219" t="s">
        <v>241</v>
      </c>
      <c r="E21" s="221">
        <v>13780</v>
      </c>
    </row>
    <row r="22" spans="1:5" ht="21">
      <c r="A22" s="219">
        <v>19</v>
      </c>
      <c r="B22" s="252">
        <v>237770</v>
      </c>
      <c r="C22" s="220" t="s">
        <v>182</v>
      </c>
      <c r="D22" s="219" t="s">
        <v>242</v>
      </c>
      <c r="E22" s="221">
        <v>8780</v>
      </c>
    </row>
    <row r="23" spans="1:5" ht="21">
      <c r="A23" s="219">
        <v>20</v>
      </c>
      <c r="B23" s="252">
        <v>21225</v>
      </c>
      <c r="C23" s="220" t="s">
        <v>500</v>
      </c>
      <c r="D23" s="219" t="s">
        <v>501</v>
      </c>
      <c r="E23" s="221">
        <v>60000</v>
      </c>
    </row>
    <row r="24" spans="1:5" ht="21">
      <c r="A24" s="219">
        <v>20</v>
      </c>
      <c r="B24" s="252">
        <v>21183</v>
      </c>
      <c r="C24" s="220" t="s">
        <v>483</v>
      </c>
      <c r="D24" s="219" t="s">
        <v>482</v>
      </c>
      <c r="E24" s="221">
        <v>20000</v>
      </c>
    </row>
    <row r="25" spans="1:5" ht="21">
      <c r="A25" s="219">
        <v>21</v>
      </c>
      <c r="B25" s="252">
        <v>21115</v>
      </c>
      <c r="C25" s="220" t="s">
        <v>407</v>
      </c>
      <c r="D25" s="219" t="s">
        <v>408</v>
      </c>
      <c r="E25" s="221">
        <v>24000</v>
      </c>
    </row>
    <row r="26" spans="1:5" ht="21">
      <c r="A26" s="219">
        <v>22</v>
      </c>
      <c r="B26" s="252">
        <v>21129</v>
      </c>
      <c r="C26" s="220" t="s">
        <v>471</v>
      </c>
      <c r="D26" s="219" t="s">
        <v>472</v>
      </c>
      <c r="E26" s="221">
        <v>26000</v>
      </c>
    </row>
    <row r="27" spans="1:12" ht="21">
      <c r="A27" s="219">
        <v>23</v>
      </c>
      <c r="B27" s="252">
        <v>21201</v>
      </c>
      <c r="C27" s="220" t="s">
        <v>492</v>
      </c>
      <c r="D27" s="219" t="s">
        <v>239</v>
      </c>
      <c r="E27" s="221">
        <v>70000</v>
      </c>
      <c r="L27" s="58" t="s">
        <v>269</v>
      </c>
    </row>
    <row r="28" spans="1:5" ht="21">
      <c r="A28" s="219">
        <v>24</v>
      </c>
      <c r="B28" s="252">
        <v>21054</v>
      </c>
      <c r="C28" s="220" t="s">
        <v>402</v>
      </c>
      <c r="D28" s="219" t="s">
        <v>267</v>
      </c>
      <c r="E28" s="221">
        <v>30000</v>
      </c>
    </row>
    <row r="29" spans="1:5" ht="21">
      <c r="A29" s="272" t="s">
        <v>20</v>
      </c>
      <c r="B29" s="272"/>
      <c r="C29" s="272"/>
      <c r="D29" s="272"/>
      <c r="E29" s="222">
        <f>SUM(E4:E28)</f>
        <v>1031560</v>
      </c>
    </row>
    <row r="30" ht="21">
      <c r="E30" s="224" t="s">
        <v>269</v>
      </c>
    </row>
    <row r="32" spans="1:6" ht="21">
      <c r="A32" s="274" t="s">
        <v>268</v>
      </c>
      <c r="B32" s="274"/>
      <c r="C32" s="274"/>
      <c r="D32" s="274"/>
      <c r="E32" s="274"/>
      <c r="F32" s="225"/>
    </row>
    <row r="33" spans="1:6" ht="21">
      <c r="A33" s="271" t="s">
        <v>228</v>
      </c>
      <c r="B33" s="271"/>
      <c r="C33" s="271"/>
      <c r="D33" s="271"/>
      <c r="E33" s="271"/>
      <c r="F33" s="271"/>
    </row>
    <row r="34" spans="1:6" ht="21">
      <c r="A34" s="271" t="s">
        <v>229</v>
      </c>
      <c r="B34" s="271"/>
      <c r="C34" s="271"/>
      <c r="D34" s="271"/>
      <c r="E34" s="271"/>
      <c r="F34" s="271"/>
    </row>
    <row r="36" ht="21">
      <c r="I36" s="58" t="s">
        <v>487</v>
      </c>
    </row>
    <row r="49" ht="21">
      <c r="E49" s="224">
        <v>0</v>
      </c>
    </row>
  </sheetData>
  <sheetProtection/>
  <mergeCells count="6">
    <mergeCell ref="A33:F33"/>
    <mergeCell ref="A34:F34"/>
    <mergeCell ref="A29:D29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9.140625" style="168" customWidth="1"/>
    <col min="2" max="2" width="35.00390625" style="168" customWidth="1"/>
    <col min="3" max="3" width="17.421875" style="168" customWidth="1"/>
    <col min="4" max="4" width="12.421875" style="168" customWidth="1"/>
    <col min="5" max="16384" width="9.140625" style="168" customWidth="1"/>
  </cols>
  <sheetData>
    <row r="1" spans="1:5" ht="23.25">
      <c r="A1" s="275" t="s">
        <v>525</v>
      </c>
      <c r="B1" s="275"/>
      <c r="C1" s="275"/>
      <c r="D1" s="275"/>
      <c r="E1" s="70"/>
    </row>
    <row r="2" spans="1:5" ht="23.25">
      <c r="A2" s="275" t="s">
        <v>261</v>
      </c>
      <c r="B2" s="275"/>
      <c r="C2" s="275"/>
      <c r="D2" s="275"/>
      <c r="E2" s="70"/>
    </row>
    <row r="3" spans="1:4" ht="23.25">
      <c r="A3" s="275" t="s">
        <v>243</v>
      </c>
      <c r="B3" s="275"/>
      <c r="C3" s="275"/>
      <c r="D3" s="275"/>
    </row>
    <row r="5" spans="1:4" ht="23.25">
      <c r="A5" s="169" t="s">
        <v>144</v>
      </c>
      <c r="B5" s="169" t="s">
        <v>25</v>
      </c>
      <c r="C5" s="169" t="s">
        <v>73</v>
      </c>
      <c r="D5" s="169" t="s">
        <v>244</v>
      </c>
    </row>
    <row r="6" spans="1:4" ht="23.25">
      <c r="A6" s="181">
        <v>1</v>
      </c>
      <c r="B6" s="182" t="s">
        <v>245</v>
      </c>
      <c r="C6" s="183">
        <v>100000</v>
      </c>
      <c r="D6" s="182"/>
    </row>
    <row r="7" spans="1:4" ht="23.25">
      <c r="A7" s="184">
        <v>2</v>
      </c>
      <c r="B7" s="185" t="s">
        <v>246</v>
      </c>
      <c r="C7" s="186">
        <v>100000</v>
      </c>
      <c r="D7" s="185"/>
    </row>
    <row r="8" spans="1:4" ht="23.25">
      <c r="A8" s="184">
        <v>3</v>
      </c>
      <c r="B8" s="185" t="s">
        <v>247</v>
      </c>
      <c r="C8" s="186">
        <v>100000</v>
      </c>
      <c r="D8" s="185"/>
    </row>
    <row r="9" spans="1:4" ht="23.25">
      <c r="A9" s="184">
        <v>4</v>
      </c>
      <c r="B9" s="185" t="s">
        <v>248</v>
      </c>
      <c r="C9" s="186">
        <v>100000</v>
      </c>
      <c r="D9" s="185"/>
    </row>
    <row r="10" spans="1:4" ht="23.25">
      <c r="A10" s="184">
        <v>5</v>
      </c>
      <c r="B10" s="185" t="s">
        <v>249</v>
      </c>
      <c r="C10" s="186">
        <v>100000</v>
      </c>
      <c r="D10" s="185"/>
    </row>
    <row r="11" spans="1:4" ht="23.25">
      <c r="A11" s="184">
        <v>6</v>
      </c>
      <c r="B11" s="185" t="s">
        <v>250</v>
      </c>
      <c r="C11" s="186">
        <v>100000</v>
      </c>
      <c r="D11" s="185"/>
    </row>
    <row r="12" spans="1:4" ht="23.25">
      <c r="A12" s="184">
        <v>7</v>
      </c>
      <c r="B12" s="185" t="s">
        <v>251</v>
      </c>
      <c r="C12" s="186">
        <v>100000</v>
      </c>
      <c r="D12" s="185"/>
    </row>
    <row r="13" spans="1:4" ht="23.25">
      <c r="A13" s="184">
        <v>8</v>
      </c>
      <c r="B13" s="185" t="s">
        <v>252</v>
      </c>
      <c r="C13" s="186">
        <v>100000</v>
      </c>
      <c r="D13" s="185"/>
    </row>
    <row r="14" spans="1:4" ht="23.25">
      <c r="A14" s="184">
        <v>9</v>
      </c>
      <c r="B14" s="185" t="s">
        <v>253</v>
      </c>
      <c r="C14" s="186">
        <v>100000</v>
      </c>
      <c r="D14" s="185"/>
    </row>
    <row r="15" spans="1:4" ht="23.25">
      <c r="A15" s="184">
        <v>10</v>
      </c>
      <c r="B15" s="185" t="s">
        <v>254</v>
      </c>
      <c r="C15" s="186">
        <v>100000</v>
      </c>
      <c r="D15" s="185"/>
    </row>
    <row r="16" spans="1:4" ht="23.25">
      <c r="A16" s="187">
        <v>11</v>
      </c>
      <c r="B16" s="188" t="s">
        <v>255</v>
      </c>
      <c r="C16" s="189">
        <v>100000</v>
      </c>
      <c r="D16" s="188"/>
    </row>
    <row r="17" spans="3:4" ht="24" thickBot="1">
      <c r="C17" s="190">
        <f>SUM(C6:C16)</f>
        <v>1100000</v>
      </c>
      <c r="D17" s="191"/>
    </row>
    <row r="18" ht="24" thickTop="1"/>
    <row r="20" spans="1:4" ht="23.25">
      <c r="A20" s="168" t="s">
        <v>256</v>
      </c>
      <c r="D20" s="168" t="s">
        <v>257</v>
      </c>
    </row>
    <row r="21" spans="1:3" ht="23.25">
      <c r="A21" s="168" t="s">
        <v>258</v>
      </c>
      <c r="C21" s="168" t="s">
        <v>262</v>
      </c>
    </row>
    <row r="22" spans="1:3" ht="23.25">
      <c r="A22" s="168" t="s">
        <v>259</v>
      </c>
      <c r="C22" s="168" t="s">
        <v>260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.421875" style="168" customWidth="1"/>
    <col min="2" max="2" width="11.140625" style="168" customWidth="1"/>
    <col min="3" max="3" width="11.57421875" style="178" customWidth="1"/>
    <col min="4" max="4" width="43.00390625" style="168" customWidth="1"/>
    <col min="5" max="5" width="14.00390625" style="167" customWidth="1"/>
    <col min="6" max="6" width="10.28125" style="167" bestFit="1" customWidth="1"/>
    <col min="7" max="16384" width="9.140625" style="168" customWidth="1"/>
  </cols>
  <sheetData>
    <row r="1" spans="1:6" ht="23.25">
      <c r="A1" s="275" t="s">
        <v>525</v>
      </c>
      <c r="B1" s="275"/>
      <c r="C1" s="275"/>
      <c r="D1" s="275"/>
      <c r="E1" s="275"/>
      <c r="F1" s="275"/>
    </row>
    <row r="2" spans="1:6" ht="23.25">
      <c r="A2" s="275" t="s">
        <v>385</v>
      </c>
      <c r="B2" s="275"/>
      <c r="C2" s="275"/>
      <c r="D2" s="275"/>
      <c r="E2" s="275"/>
      <c r="F2" s="275"/>
    </row>
    <row r="3" spans="1:6" ht="23.25">
      <c r="A3" s="277" t="s">
        <v>264</v>
      </c>
      <c r="B3" s="277"/>
      <c r="C3" s="277"/>
      <c r="D3" s="277"/>
      <c r="E3" s="277"/>
      <c r="F3" s="277"/>
    </row>
    <row r="4" spans="1:6" ht="23.25">
      <c r="A4" s="169" t="s">
        <v>144</v>
      </c>
      <c r="B4" s="169" t="s">
        <v>145</v>
      </c>
      <c r="C4" s="170" t="s">
        <v>146</v>
      </c>
      <c r="D4" s="169" t="s">
        <v>147</v>
      </c>
      <c r="E4" s="171" t="s">
        <v>148</v>
      </c>
      <c r="F4" s="171" t="s">
        <v>149</v>
      </c>
    </row>
    <row r="5" spans="1:6" ht="23.25">
      <c r="A5" s="172">
        <v>1</v>
      </c>
      <c r="B5" s="173">
        <v>16233</v>
      </c>
      <c r="C5" s="174" t="s">
        <v>150</v>
      </c>
      <c r="D5" s="172" t="s">
        <v>502</v>
      </c>
      <c r="E5" s="175">
        <v>47300</v>
      </c>
      <c r="F5" s="175">
        <v>238</v>
      </c>
    </row>
    <row r="6" spans="1:6" ht="23.25">
      <c r="A6" s="172">
        <v>2</v>
      </c>
      <c r="B6" s="173">
        <v>16233</v>
      </c>
      <c r="C6" s="174" t="s">
        <v>151</v>
      </c>
      <c r="D6" s="172" t="s">
        <v>152</v>
      </c>
      <c r="E6" s="175">
        <v>100000</v>
      </c>
      <c r="F6" s="175">
        <v>250</v>
      </c>
    </row>
    <row r="7" spans="1:6" ht="23.25">
      <c r="A7" s="172">
        <v>3</v>
      </c>
      <c r="B7" s="173">
        <v>17025</v>
      </c>
      <c r="C7" s="174" t="s">
        <v>153</v>
      </c>
      <c r="D7" s="172" t="s">
        <v>154</v>
      </c>
      <c r="E7" s="175">
        <v>40000</v>
      </c>
      <c r="F7" s="175">
        <v>338</v>
      </c>
    </row>
    <row r="8" spans="1:6" ht="23.25">
      <c r="A8" s="172">
        <v>4</v>
      </c>
      <c r="B8" s="173">
        <v>17025</v>
      </c>
      <c r="C8" s="174" t="s">
        <v>155</v>
      </c>
      <c r="D8" s="172" t="s">
        <v>156</v>
      </c>
      <c r="E8" s="175">
        <v>40000</v>
      </c>
      <c r="F8" s="175">
        <v>163</v>
      </c>
    </row>
    <row r="9" spans="1:6" ht="23.25">
      <c r="A9" s="172">
        <v>5</v>
      </c>
      <c r="B9" s="173">
        <v>17165</v>
      </c>
      <c r="C9" s="174" t="s">
        <v>157</v>
      </c>
      <c r="D9" s="172" t="s">
        <v>158</v>
      </c>
      <c r="E9" s="175">
        <v>60000</v>
      </c>
      <c r="F9" s="175">
        <v>5250</v>
      </c>
    </row>
    <row r="10" spans="1:6" ht="23.25">
      <c r="A10" s="172">
        <v>6</v>
      </c>
      <c r="B10" s="173">
        <v>17430</v>
      </c>
      <c r="C10" s="174" t="s">
        <v>159</v>
      </c>
      <c r="D10" s="172" t="s">
        <v>160</v>
      </c>
      <c r="E10" s="175">
        <v>30000</v>
      </c>
      <c r="F10" s="175">
        <v>375</v>
      </c>
    </row>
    <row r="11" spans="1:6" ht="23.25">
      <c r="A11" s="172">
        <v>7</v>
      </c>
      <c r="B11" s="173">
        <v>17430</v>
      </c>
      <c r="C11" s="174" t="s">
        <v>161</v>
      </c>
      <c r="D11" s="172" t="s">
        <v>162</v>
      </c>
      <c r="E11" s="175">
        <v>30000</v>
      </c>
      <c r="F11" s="175">
        <v>188</v>
      </c>
    </row>
    <row r="12" spans="1:6" ht="23.25">
      <c r="A12" s="172">
        <v>8</v>
      </c>
      <c r="B12" s="173">
        <v>17430</v>
      </c>
      <c r="C12" s="174" t="s">
        <v>163</v>
      </c>
      <c r="D12" s="172" t="s">
        <v>164</v>
      </c>
      <c r="E12" s="175">
        <v>20000</v>
      </c>
      <c r="F12" s="175">
        <v>250</v>
      </c>
    </row>
    <row r="13" spans="1:6" ht="23.25">
      <c r="A13" s="172">
        <v>9</v>
      </c>
      <c r="B13" s="173">
        <v>17508</v>
      </c>
      <c r="C13" s="174" t="s">
        <v>165</v>
      </c>
      <c r="D13" s="172" t="s">
        <v>166</v>
      </c>
      <c r="E13" s="175">
        <v>14000</v>
      </c>
      <c r="F13" s="175">
        <v>88</v>
      </c>
    </row>
    <row r="14" spans="1:6" ht="23.25">
      <c r="A14" s="172">
        <v>10</v>
      </c>
      <c r="B14" s="173">
        <v>17701</v>
      </c>
      <c r="C14" s="174" t="s">
        <v>167</v>
      </c>
      <c r="D14" s="172" t="s">
        <v>168</v>
      </c>
      <c r="E14" s="175">
        <v>23000</v>
      </c>
      <c r="F14" s="175">
        <v>288</v>
      </c>
    </row>
    <row r="15" spans="1:6" ht="23.25">
      <c r="A15" s="172">
        <v>11</v>
      </c>
      <c r="B15" s="173">
        <v>17760</v>
      </c>
      <c r="C15" s="174" t="s">
        <v>169</v>
      </c>
      <c r="D15" s="172" t="s">
        <v>170</v>
      </c>
      <c r="E15" s="175">
        <v>30000</v>
      </c>
      <c r="F15" s="175">
        <f>1125+430+589+362</f>
        <v>2506</v>
      </c>
    </row>
    <row r="16" spans="1:6" ht="23.25">
      <c r="A16" s="172">
        <v>12</v>
      </c>
      <c r="B16" s="173">
        <v>17931</v>
      </c>
      <c r="C16" s="174" t="s">
        <v>171</v>
      </c>
      <c r="D16" s="172" t="s">
        <v>172</v>
      </c>
      <c r="E16" s="175">
        <v>40000</v>
      </c>
      <c r="F16" s="175">
        <f>1858+430+589+362</f>
        <v>3239</v>
      </c>
    </row>
    <row r="17" spans="1:6" ht="23.25">
      <c r="A17" s="172">
        <v>13</v>
      </c>
      <c r="B17" s="173">
        <v>18079</v>
      </c>
      <c r="C17" s="174" t="s">
        <v>173</v>
      </c>
      <c r="D17" s="172" t="s">
        <v>174</v>
      </c>
      <c r="E17" s="175">
        <v>15000</v>
      </c>
      <c r="F17" s="175">
        <v>750</v>
      </c>
    </row>
    <row r="18" spans="1:6" ht="23.25">
      <c r="A18" s="172">
        <v>14</v>
      </c>
      <c r="B18" s="173">
        <v>18083</v>
      </c>
      <c r="C18" s="174" t="s">
        <v>175</v>
      </c>
      <c r="D18" s="172" t="s">
        <v>152</v>
      </c>
      <c r="E18" s="175">
        <v>10000</v>
      </c>
      <c r="F18" s="175">
        <v>125</v>
      </c>
    </row>
    <row r="19" spans="1:6" ht="23.25">
      <c r="A19" s="172">
        <v>15</v>
      </c>
      <c r="B19" s="173">
        <v>18219</v>
      </c>
      <c r="C19" s="174" t="s">
        <v>176</v>
      </c>
      <c r="D19" s="172" t="s">
        <v>177</v>
      </c>
      <c r="E19" s="175">
        <v>25000</v>
      </c>
      <c r="F19" s="175">
        <v>313</v>
      </c>
    </row>
    <row r="20" spans="1:6" ht="23.25">
      <c r="A20" s="172">
        <v>16</v>
      </c>
      <c r="B20" s="173">
        <v>18259</v>
      </c>
      <c r="C20" s="174" t="s">
        <v>178</v>
      </c>
      <c r="D20" s="172" t="s">
        <v>166</v>
      </c>
      <c r="E20" s="175">
        <v>7000</v>
      </c>
      <c r="F20" s="175">
        <v>88</v>
      </c>
    </row>
    <row r="21" spans="1:6" ht="23.25">
      <c r="A21" s="172">
        <v>17</v>
      </c>
      <c r="B21" s="173">
        <v>18498</v>
      </c>
      <c r="C21" s="174" t="s">
        <v>179</v>
      </c>
      <c r="D21" s="172" t="s">
        <v>180</v>
      </c>
      <c r="E21" s="175">
        <v>13000</v>
      </c>
      <c r="F21" s="175">
        <v>82</v>
      </c>
    </row>
    <row r="22" spans="1:6" ht="23.25">
      <c r="A22" s="172">
        <v>18</v>
      </c>
      <c r="B22" s="173">
        <v>18499</v>
      </c>
      <c r="C22" s="174" t="s">
        <v>181</v>
      </c>
      <c r="D22" s="172" t="s">
        <v>162</v>
      </c>
      <c r="E22" s="175">
        <v>14000</v>
      </c>
      <c r="F22" s="175">
        <v>175</v>
      </c>
    </row>
    <row r="23" spans="1:6" ht="23.25">
      <c r="A23" s="172">
        <v>19</v>
      </c>
      <c r="B23" s="173">
        <v>237770</v>
      </c>
      <c r="C23" s="174" t="s">
        <v>182</v>
      </c>
      <c r="D23" s="172" t="s">
        <v>183</v>
      </c>
      <c r="E23" s="175">
        <v>25000</v>
      </c>
      <c r="F23" s="175">
        <v>1151</v>
      </c>
    </row>
    <row r="24" spans="1:6" ht="23.25">
      <c r="A24" s="172">
        <v>20</v>
      </c>
      <c r="B24" s="173">
        <v>18820</v>
      </c>
      <c r="C24" s="174" t="s">
        <v>184</v>
      </c>
      <c r="D24" s="172" t="s">
        <v>164</v>
      </c>
      <c r="E24" s="175">
        <v>9000</v>
      </c>
      <c r="F24" s="175">
        <v>113</v>
      </c>
    </row>
    <row r="25" spans="1:6" ht="23.25">
      <c r="A25" s="172">
        <v>21</v>
      </c>
      <c r="B25" s="173">
        <v>18820</v>
      </c>
      <c r="C25" s="174" t="s">
        <v>185</v>
      </c>
      <c r="D25" s="172" t="s">
        <v>186</v>
      </c>
      <c r="E25" s="175">
        <v>26000</v>
      </c>
      <c r="F25" s="175">
        <v>163</v>
      </c>
    </row>
    <row r="26" spans="1:6" ht="23.25">
      <c r="A26" s="172">
        <v>22</v>
      </c>
      <c r="B26" s="173">
        <v>18825</v>
      </c>
      <c r="C26" s="174" t="s">
        <v>187</v>
      </c>
      <c r="D26" s="172" t="s">
        <v>164</v>
      </c>
      <c r="E26" s="175">
        <v>15000</v>
      </c>
      <c r="F26" s="175">
        <v>188</v>
      </c>
    </row>
    <row r="27" spans="1:6" ht="23.25">
      <c r="A27" s="172">
        <v>23</v>
      </c>
      <c r="B27" s="173">
        <v>18910</v>
      </c>
      <c r="C27" s="174" t="s">
        <v>188</v>
      </c>
      <c r="D27" s="172" t="s">
        <v>189</v>
      </c>
      <c r="E27" s="175">
        <v>39000</v>
      </c>
      <c r="F27" s="175">
        <v>1219</v>
      </c>
    </row>
    <row r="28" spans="1:6" ht="23.25">
      <c r="A28" s="172">
        <v>24</v>
      </c>
      <c r="B28" s="173">
        <v>18974</v>
      </c>
      <c r="C28" s="174" t="s">
        <v>190</v>
      </c>
      <c r="D28" s="172" t="s">
        <v>191</v>
      </c>
      <c r="E28" s="175">
        <v>25000</v>
      </c>
      <c r="F28" s="175">
        <v>313</v>
      </c>
    </row>
    <row r="29" spans="1:6" ht="23.25">
      <c r="A29" s="172">
        <v>25</v>
      </c>
      <c r="B29" s="173">
        <v>19192</v>
      </c>
      <c r="C29" s="174" t="s">
        <v>192</v>
      </c>
      <c r="D29" s="172" t="s">
        <v>193</v>
      </c>
      <c r="E29" s="175">
        <v>16000</v>
      </c>
      <c r="F29" s="175">
        <v>200</v>
      </c>
    </row>
    <row r="30" spans="1:6" ht="23.25">
      <c r="A30" s="172">
        <v>26</v>
      </c>
      <c r="B30" s="173">
        <v>19202</v>
      </c>
      <c r="C30" s="174" t="s">
        <v>194</v>
      </c>
      <c r="D30" s="172" t="s">
        <v>195</v>
      </c>
      <c r="E30" s="175">
        <v>26000</v>
      </c>
      <c r="F30" s="175">
        <v>325</v>
      </c>
    </row>
    <row r="31" spans="1:6" ht="23.25">
      <c r="A31" s="172">
        <v>27</v>
      </c>
      <c r="B31" s="176">
        <v>19225</v>
      </c>
      <c r="C31" s="177" t="s">
        <v>196</v>
      </c>
      <c r="D31" s="172" t="s">
        <v>186</v>
      </c>
      <c r="E31" s="175">
        <v>15000</v>
      </c>
      <c r="F31" s="175">
        <v>188</v>
      </c>
    </row>
    <row r="33" spans="1:6" ht="22.5" customHeight="1">
      <c r="A33" s="169" t="s">
        <v>144</v>
      </c>
      <c r="B33" s="169" t="s">
        <v>145</v>
      </c>
      <c r="C33" s="170" t="s">
        <v>146</v>
      </c>
      <c r="D33" s="169" t="s">
        <v>147</v>
      </c>
      <c r="E33" s="171" t="s">
        <v>148</v>
      </c>
      <c r="F33" s="171" t="s">
        <v>149</v>
      </c>
    </row>
    <row r="34" spans="1:6" ht="22.5" customHeight="1">
      <c r="A34" s="172">
        <v>28</v>
      </c>
      <c r="B34" s="173">
        <v>19283</v>
      </c>
      <c r="C34" s="174" t="s">
        <v>197</v>
      </c>
      <c r="D34" s="172" t="s">
        <v>198</v>
      </c>
      <c r="E34" s="175">
        <v>16600</v>
      </c>
      <c r="F34" s="175">
        <v>208</v>
      </c>
    </row>
    <row r="35" spans="1:6" ht="22.5" customHeight="1">
      <c r="A35" s="172">
        <v>29</v>
      </c>
      <c r="B35" s="173">
        <v>19288</v>
      </c>
      <c r="C35" s="174" t="s">
        <v>199</v>
      </c>
      <c r="D35" s="172" t="s">
        <v>200</v>
      </c>
      <c r="E35" s="175">
        <v>9000</v>
      </c>
      <c r="F35" s="175">
        <v>225</v>
      </c>
    </row>
    <row r="36" spans="1:6" ht="22.5" customHeight="1">
      <c r="A36" s="172">
        <v>30</v>
      </c>
      <c r="B36" s="173">
        <v>19400</v>
      </c>
      <c r="C36" s="174" t="s">
        <v>201</v>
      </c>
      <c r="D36" s="172" t="s">
        <v>202</v>
      </c>
      <c r="E36" s="175">
        <v>25000</v>
      </c>
      <c r="F36" s="175">
        <v>1250</v>
      </c>
    </row>
    <row r="37" spans="1:6" ht="22.5" customHeight="1">
      <c r="A37" s="172">
        <v>31</v>
      </c>
      <c r="B37" s="173">
        <v>19429</v>
      </c>
      <c r="C37" s="174" t="s">
        <v>203</v>
      </c>
      <c r="D37" s="172" t="s">
        <v>204</v>
      </c>
      <c r="E37" s="175">
        <v>30000</v>
      </c>
      <c r="F37" s="175">
        <v>375</v>
      </c>
    </row>
    <row r="38" spans="1:6" ht="22.5" customHeight="1">
      <c r="A38" s="172">
        <v>32</v>
      </c>
      <c r="B38" s="173">
        <v>19653</v>
      </c>
      <c r="C38" s="174" t="s">
        <v>205</v>
      </c>
      <c r="D38" s="172" t="s">
        <v>206</v>
      </c>
      <c r="E38" s="175">
        <v>50000</v>
      </c>
      <c r="F38" s="175">
        <v>313</v>
      </c>
    </row>
    <row r="39" spans="1:6" ht="22.5" customHeight="1">
      <c r="A39" s="172">
        <v>33</v>
      </c>
      <c r="B39" s="173">
        <v>19659</v>
      </c>
      <c r="C39" s="174" t="s">
        <v>207</v>
      </c>
      <c r="D39" s="172" t="s">
        <v>208</v>
      </c>
      <c r="E39" s="175">
        <v>13000</v>
      </c>
      <c r="F39" s="175">
        <v>82</v>
      </c>
    </row>
    <row r="40" spans="1:6" ht="22.5" customHeight="1">
      <c r="A40" s="172">
        <v>34</v>
      </c>
      <c r="B40" s="173">
        <v>19661</v>
      </c>
      <c r="C40" s="174" t="s">
        <v>209</v>
      </c>
      <c r="D40" s="172" t="s">
        <v>198</v>
      </c>
      <c r="E40" s="175">
        <v>16600</v>
      </c>
      <c r="F40" s="175">
        <v>104</v>
      </c>
    </row>
    <row r="41" spans="1:6" ht="22.5" customHeight="1">
      <c r="A41" s="172">
        <v>35</v>
      </c>
      <c r="B41" s="173">
        <v>19752</v>
      </c>
      <c r="C41" s="174" t="s">
        <v>210</v>
      </c>
      <c r="D41" s="172" t="s">
        <v>211</v>
      </c>
      <c r="E41" s="175">
        <v>20000</v>
      </c>
      <c r="F41" s="175">
        <v>125</v>
      </c>
    </row>
    <row r="42" spans="1:6" ht="22.5" customHeight="1">
      <c r="A42" s="172">
        <v>36</v>
      </c>
      <c r="B42" s="173">
        <v>19787</v>
      </c>
      <c r="C42" s="174" t="s">
        <v>212</v>
      </c>
      <c r="D42" s="172" t="s">
        <v>189</v>
      </c>
      <c r="E42" s="175">
        <v>39000</v>
      </c>
      <c r="F42" s="175">
        <v>488</v>
      </c>
    </row>
    <row r="43" spans="1:6" ht="22.5" customHeight="1">
      <c r="A43" s="172">
        <v>37</v>
      </c>
      <c r="B43" s="173">
        <v>19976</v>
      </c>
      <c r="C43" s="174" t="s">
        <v>213</v>
      </c>
      <c r="D43" s="172" t="s">
        <v>193</v>
      </c>
      <c r="E43" s="175">
        <v>40000</v>
      </c>
      <c r="F43" s="175">
        <v>250</v>
      </c>
    </row>
    <row r="44" spans="1:6" ht="22.5" customHeight="1">
      <c r="A44" s="172">
        <v>38</v>
      </c>
      <c r="B44" s="173">
        <v>239178</v>
      </c>
      <c r="C44" s="174" t="s">
        <v>214</v>
      </c>
      <c r="D44" s="172" t="s">
        <v>215</v>
      </c>
      <c r="E44" s="175">
        <v>13000</v>
      </c>
      <c r="F44" s="175">
        <v>82</v>
      </c>
    </row>
    <row r="45" spans="1:6" ht="22.5" customHeight="1">
      <c r="A45" s="172">
        <v>39</v>
      </c>
      <c r="B45" s="173">
        <v>239179</v>
      </c>
      <c r="C45" s="174" t="s">
        <v>216</v>
      </c>
      <c r="D45" s="172" t="s">
        <v>217</v>
      </c>
      <c r="E45" s="175">
        <v>50000</v>
      </c>
      <c r="F45" s="175">
        <v>625</v>
      </c>
    </row>
    <row r="46" spans="1:6" ht="22.5" customHeight="1">
      <c r="A46" s="172">
        <v>40</v>
      </c>
      <c r="B46" s="173">
        <v>239185</v>
      </c>
      <c r="C46" s="174" t="s">
        <v>218</v>
      </c>
      <c r="D46" s="172" t="s">
        <v>219</v>
      </c>
      <c r="E46" s="175">
        <v>16600</v>
      </c>
      <c r="F46" s="175">
        <v>104</v>
      </c>
    </row>
    <row r="47" spans="1:6" ht="22.5" customHeight="1">
      <c r="A47" s="172">
        <v>41</v>
      </c>
      <c r="B47" s="173">
        <v>239189</v>
      </c>
      <c r="C47" s="174" t="s">
        <v>220</v>
      </c>
      <c r="D47" s="172" t="s">
        <v>221</v>
      </c>
      <c r="E47" s="175">
        <v>15000</v>
      </c>
      <c r="F47" s="175">
        <v>282</v>
      </c>
    </row>
    <row r="48" spans="1:6" ht="22.5" customHeight="1">
      <c r="A48" s="172">
        <v>42</v>
      </c>
      <c r="B48" s="173">
        <v>239206</v>
      </c>
      <c r="C48" s="174" t="s">
        <v>222</v>
      </c>
      <c r="D48" s="172" t="s">
        <v>223</v>
      </c>
      <c r="E48" s="175">
        <v>60000</v>
      </c>
      <c r="F48" s="175">
        <v>375</v>
      </c>
    </row>
    <row r="49" spans="1:6" ht="22.5" customHeight="1">
      <c r="A49" s="172">
        <v>43</v>
      </c>
      <c r="B49" s="173">
        <v>239308</v>
      </c>
      <c r="C49" s="174" t="s">
        <v>224</v>
      </c>
      <c r="D49" s="172" t="s">
        <v>225</v>
      </c>
      <c r="E49" s="175">
        <v>20000</v>
      </c>
      <c r="F49" s="175">
        <v>125</v>
      </c>
    </row>
    <row r="50" spans="1:6" ht="22.5" customHeight="1">
      <c r="A50" s="172">
        <v>44</v>
      </c>
      <c r="B50" s="173">
        <v>239349</v>
      </c>
      <c r="C50" s="174" t="s">
        <v>226</v>
      </c>
      <c r="D50" s="172" t="s">
        <v>227</v>
      </c>
      <c r="E50" s="175">
        <v>39000</v>
      </c>
      <c r="F50" s="175">
        <v>244</v>
      </c>
    </row>
    <row r="51" spans="1:6" ht="22.5" customHeight="1">
      <c r="A51" s="172">
        <v>45</v>
      </c>
      <c r="B51" s="173">
        <v>20366</v>
      </c>
      <c r="C51" s="174" t="s">
        <v>344</v>
      </c>
      <c r="D51" s="172" t="s">
        <v>345</v>
      </c>
      <c r="E51" s="175">
        <v>26000</v>
      </c>
      <c r="F51" s="175">
        <v>163</v>
      </c>
    </row>
    <row r="52" spans="1:6" ht="22.5" customHeight="1">
      <c r="A52" s="172">
        <v>46</v>
      </c>
      <c r="B52" s="173">
        <v>20436</v>
      </c>
      <c r="C52" s="174" t="s">
        <v>409</v>
      </c>
      <c r="D52" s="172" t="s">
        <v>410</v>
      </c>
      <c r="E52" s="175">
        <v>60000</v>
      </c>
      <c r="F52" s="175">
        <v>375</v>
      </c>
    </row>
    <row r="53" spans="1:6" ht="22.5" customHeight="1">
      <c r="A53" s="172">
        <v>47</v>
      </c>
      <c r="B53" s="173">
        <v>20386</v>
      </c>
      <c r="C53" s="174" t="s">
        <v>411</v>
      </c>
      <c r="D53" s="172" t="s">
        <v>412</v>
      </c>
      <c r="E53" s="175">
        <v>40000</v>
      </c>
      <c r="F53" s="175">
        <v>1000</v>
      </c>
    </row>
    <row r="54" spans="1:6" ht="22.5" customHeight="1">
      <c r="A54" s="172">
        <v>48</v>
      </c>
      <c r="B54" s="173">
        <v>20582</v>
      </c>
      <c r="C54" s="174" t="s">
        <v>413</v>
      </c>
      <c r="D54" s="172" t="s">
        <v>414</v>
      </c>
      <c r="E54" s="175">
        <v>39000</v>
      </c>
      <c r="F54" s="175">
        <v>488</v>
      </c>
    </row>
    <row r="55" spans="1:6" ht="22.5" customHeight="1">
      <c r="A55" s="172">
        <v>49</v>
      </c>
      <c r="B55" s="173">
        <v>20913</v>
      </c>
      <c r="C55" s="174" t="s">
        <v>415</v>
      </c>
      <c r="D55" s="172" t="s">
        <v>225</v>
      </c>
      <c r="E55" s="175">
        <v>20000</v>
      </c>
      <c r="F55" s="175">
        <v>625</v>
      </c>
    </row>
    <row r="56" spans="1:6" ht="22.5" customHeight="1">
      <c r="A56" s="172">
        <v>50</v>
      </c>
      <c r="B56" s="173">
        <v>20681</v>
      </c>
      <c r="C56" s="174" t="s">
        <v>416</v>
      </c>
      <c r="D56" s="172" t="s">
        <v>400</v>
      </c>
      <c r="E56" s="175">
        <v>40000</v>
      </c>
      <c r="F56" s="175">
        <v>250</v>
      </c>
    </row>
    <row r="57" spans="1:6" ht="22.5" customHeight="1">
      <c r="A57" s="172">
        <v>51</v>
      </c>
      <c r="B57" s="173">
        <v>20766</v>
      </c>
      <c r="C57" s="174" t="s">
        <v>401</v>
      </c>
      <c r="D57" s="172" t="s">
        <v>485</v>
      </c>
      <c r="E57" s="175">
        <v>15000</v>
      </c>
      <c r="F57" s="175">
        <v>188</v>
      </c>
    </row>
    <row r="58" spans="1:6" ht="22.5" customHeight="1">
      <c r="A58" s="172"/>
      <c r="B58" s="173"/>
      <c r="C58" s="174"/>
      <c r="D58" s="172"/>
      <c r="E58" s="175"/>
      <c r="F58" s="175"/>
    </row>
    <row r="59" spans="1:6" ht="22.5" customHeight="1" thickBot="1">
      <c r="A59" s="278" t="s">
        <v>20</v>
      </c>
      <c r="B59" s="279"/>
      <c r="C59" s="279"/>
      <c r="D59" s="280"/>
      <c r="E59" s="179">
        <f>SUM(E5:E58)</f>
        <v>1467100</v>
      </c>
      <c r="F59" s="179">
        <f>SUM(F5:F57)</f>
        <v>26912</v>
      </c>
    </row>
    <row r="60" spans="1:6" ht="22.5" customHeight="1" thickTop="1">
      <c r="A60" s="180"/>
      <c r="B60" s="180"/>
      <c r="C60" s="180"/>
      <c r="D60" s="180"/>
      <c r="E60" s="180"/>
      <c r="F60" s="180"/>
    </row>
    <row r="61" spans="1:6" ht="22.5" customHeight="1">
      <c r="A61" s="276" t="s">
        <v>417</v>
      </c>
      <c r="B61" s="276"/>
      <c r="C61" s="276"/>
      <c r="D61" s="276"/>
      <c r="E61" s="276"/>
      <c r="F61" s="276"/>
    </row>
    <row r="62" spans="1:6" ht="22.5" customHeight="1">
      <c r="A62" s="276" t="s">
        <v>228</v>
      </c>
      <c r="B62" s="276"/>
      <c r="C62" s="276"/>
      <c r="D62" s="276"/>
      <c r="E62" s="276"/>
      <c r="F62" s="276"/>
    </row>
    <row r="63" spans="1:6" ht="22.5" customHeight="1">
      <c r="A63" s="276" t="s">
        <v>229</v>
      </c>
      <c r="B63" s="276"/>
      <c r="C63" s="276"/>
      <c r="D63" s="276"/>
      <c r="E63" s="276"/>
      <c r="F63" s="276"/>
    </row>
    <row r="64" ht="18.75" customHeight="1"/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12.28125" style="194" customWidth="1"/>
    <col min="2" max="2" width="33.8515625" style="194" customWidth="1"/>
    <col min="3" max="3" width="38.421875" style="195" customWidth="1"/>
    <col min="4" max="16384" width="9.140625" style="168" customWidth="1"/>
  </cols>
  <sheetData>
    <row r="1" spans="1:3" ht="23.25">
      <c r="A1" s="273" t="s">
        <v>525</v>
      </c>
      <c r="B1" s="273"/>
      <c r="C1" s="273"/>
    </row>
    <row r="2" spans="1:3" ht="23.25">
      <c r="A2" s="273" t="s">
        <v>385</v>
      </c>
      <c r="B2" s="273"/>
      <c r="C2" s="273"/>
    </row>
    <row r="3" spans="1:3" ht="23.25">
      <c r="A3" s="273" t="s">
        <v>265</v>
      </c>
      <c r="B3" s="273"/>
      <c r="C3" s="273"/>
    </row>
    <row r="4" spans="1:3" ht="19.5" customHeight="1">
      <c r="A4" s="216" t="s">
        <v>144</v>
      </c>
      <c r="B4" s="216" t="s">
        <v>145</v>
      </c>
      <c r="C4" s="218" t="s">
        <v>270</v>
      </c>
    </row>
    <row r="5" spans="1:3" ht="19.5" customHeight="1">
      <c r="A5" s="256">
        <v>1</v>
      </c>
      <c r="B5" s="252">
        <v>235849</v>
      </c>
      <c r="C5" s="257">
        <v>103.54</v>
      </c>
    </row>
    <row r="6" spans="1:3" ht="19.5" customHeight="1">
      <c r="A6" s="256">
        <v>2</v>
      </c>
      <c r="B6" s="252">
        <v>236021</v>
      </c>
      <c r="C6" s="257">
        <v>136.72</v>
      </c>
    </row>
    <row r="7" spans="1:3" ht="19.5" customHeight="1">
      <c r="A7" s="256">
        <v>3</v>
      </c>
      <c r="B7" s="252">
        <v>236213</v>
      </c>
      <c r="C7" s="257">
        <v>211.02</v>
      </c>
    </row>
    <row r="8" spans="1:3" ht="19.5" customHeight="1">
      <c r="A8" s="256">
        <v>4</v>
      </c>
      <c r="B8" s="252">
        <v>236394</v>
      </c>
      <c r="C8" s="257">
        <v>57.48</v>
      </c>
    </row>
    <row r="9" spans="1:3" ht="19.5" customHeight="1">
      <c r="A9" s="256">
        <v>5</v>
      </c>
      <c r="B9" s="252">
        <v>236583</v>
      </c>
      <c r="C9" s="257">
        <v>146.63</v>
      </c>
    </row>
    <row r="10" spans="1:3" ht="18.75" customHeight="1">
      <c r="A10" s="256">
        <v>6</v>
      </c>
      <c r="B10" s="252">
        <v>236759</v>
      </c>
      <c r="C10" s="258">
        <v>119.2</v>
      </c>
    </row>
    <row r="11" spans="1:3" ht="19.5" customHeight="1">
      <c r="A11" s="256">
        <v>7</v>
      </c>
      <c r="B11" s="252">
        <v>236948</v>
      </c>
      <c r="C11" s="258">
        <v>287.6</v>
      </c>
    </row>
    <row r="12" spans="1:3" ht="19.5" customHeight="1">
      <c r="A12" s="256">
        <v>8</v>
      </c>
      <c r="B12" s="252">
        <v>237130</v>
      </c>
      <c r="C12" s="257">
        <v>403.22</v>
      </c>
    </row>
    <row r="13" spans="1:3" ht="19.5" customHeight="1">
      <c r="A13" s="256">
        <v>9</v>
      </c>
      <c r="B13" s="252">
        <v>237312</v>
      </c>
      <c r="C13" s="259">
        <v>234.17</v>
      </c>
    </row>
    <row r="14" spans="1:3" ht="19.5" customHeight="1">
      <c r="A14" s="256">
        <v>10</v>
      </c>
      <c r="B14" s="252">
        <v>18348</v>
      </c>
      <c r="C14" s="259">
        <v>254.88</v>
      </c>
    </row>
    <row r="15" spans="1:3" ht="19.5" customHeight="1">
      <c r="A15" s="256">
        <v>11</v>
      </c>
      <c r="B15" s="252">
        <v>237676</v>
      </c>
      <c r="C15" s="259">
        <v>346.72</v>
      </c>
    </row>
    <row r="16" spans="1:3" ht="19.5" customHeight="1">
      <c r="A16" s="256">
        <v>12</v>
      </c>
      <c r="B16" s="252">
        <v>237857</v>
      </c>
      <c r="C16" s="259">
        <v>339.62</v>
      </c>
    </row>
    <row r="17" spans="1:3" ht="19.5" customHeight="1">
      <c r="A17" s="256">
        <v>13</v>
      </c>
      <c r="B17" s="252">
        <v>238039</v>
      </c>
      <c r="C17" s="259">
        <v>342.47</v>
      </c>
    </row>
    <row r="18" spans="1:3" ht="19.5" customHeight="1">
      <c r="A18" s="256">
        <v>14</v>
      </c>
      <c r="B18" s="252">
        <v>238222</v>
      </c>
      <c r="C18" s="259">
        <v>358.51</v>
      </c>
    </row>
    <row r="19" spans="1:3" ht="19.5" customHeight="1">
      <c r="A19" s="256">
        <v>15</v>
      </c>
      <c r="B19" s="252">
        <v>238404</v>
      </c>
      <c r="C19" s="259">
        <v>183.56</v>
      </c>
    </row>
    <row r="20" spans="1:3" ht="19.5" customHeight="1">
      <c r="A20" s="256">
        <v>16</v>
      </c>
      <c r="B20" s="252">
        <v>238586</v>
      </c>
      <c r="C20" s="259">
        <v>249.47</v>
      </c>
    </row>
    <row r="21" spans="1:3" ht="19.5" customHeight="1">
      <c r="A21" s="256">
        <v>17</v>
      </c>
      <c r="B21" s="252">
        <v>238775</v>
      </c>
      <c r="C21" s="259">
        <v>221.32</v>
      </c>
    </row>
    <row r="22" spans="1:3" ht="19.5" customHeight="1">
      <c r="A22" s="256">
        <v>18</v>
      </c>
      <c r="B22" s="252">
        <v>238949</v>
      </c>
      <c r="C22" s="259">
        <v>207.96</v>
      </c>
    </row>
    <row r="23" spans="1:3" ht="19.5" customHeight="1">
      <c r="A23" s="256">
        <v>19</v>
      </c>
      <c r="B23" s="252">
        <v>239138</v>
      </c>
      <c r="C23" s="259">
        <v>487.4</v>
      </c>
    </row>
    <row r="24" spans="1:3" ht="19.5" customHeight="1">
      <c r="A24" s="256">
        <v>20</v>
      </c>
      <c r="B24" s="252">
        <v>239320</v>
      </c>
      <c r="C24" s="259">
        <v>323.86</v>
      </c>
    </row>
    <row r="25" spans="1:3" ht="19.5" customHeight="1">
      <c r="A25" s="256">
        <v>21</v>
      </c>
      <c r="B25" s="252">
        <v>239507</v>
      </c>
      <c r="C25" s="259">
        <v>369.85</v>
      </c>
    </row>
    <row r="26" spans="1:3" ht="19.5" customHeight="1">
      <c r="A26" s="256">
        <v>22</v>
      </c>
      <c r="B26" s="252">
        <v>239691</v>
      </c>
      <c r="C26" s="259">
        <v>451.52</v>
      </c>
    </row>
    <row r="27" spans="1:3" ht="19.5" customHeight="1">
      <c r="A27" s="256">
        <v>23</v>
      </c>
      <c r="B27" s="252">
        <v>239872</v>
      </c>
      <c r="C27" s="259">
        <v>358.8</v>
      </c>
    </row>
    <row r="28" spans="1:3" ht="19.5" customHeight="1">
      <c r="A28" s="256">
        <v>24</v>
      </c>
      <c r="B28" s="252">
        <v>240054</v>
      </c>
      <c r="C28" s="259">
        <v>415.47</v>
      </c>
    </row>
    <row r="29" spans="1:3" ht="19.5" customHeight="1">
      <c r="A29" s="256">
        <v>25</v>
      </c>
      <c r="B29" s="252">
        <v>21090</v>
      </c>
      <c r="C29" s="259">
        <v>271.13</v>
      </c>
    </row>
    <row r="30" spans="1:3" ht="19.5" customHeight="1">
      <c r="A30" s="256">
        <v>26</v>
      </c>
      <c r="B30" s="252">
        <v>21272</v>
      </c>
      <c r="C30" s="259">
        <v>381.92</v>
      </c>
    </row>
    <row r="31" spans="1:3" ht="24" thickBot="1">
      <c r="A31" s="281" t="s">
        <v>20</v>
      </c>
      <c r="B31" s="282"/>
      <c r="C31" s="260">
        <f>SUM(C5:C30)</f>
        <v>7264.04</v>
      </c>
    </row>
    <row r="32" spans="1:3" ht="24" thickTop="1">
      <c r="A32" s="261"/>
      <c r="B32" s="261"/>
      <c r="C32" s="262"/>
    </row>
    <row r="33" spans="1:3" ht="23.25">
      <c r="A33" s="274" t="s">
        <v>418</v>
      </c>
      <c r="B33" s="274"/>
      <c r="C33" s="274"/>
    </row>
    <row r="34" spans="1:3" ht="23.25">
      <c r="A34" s="283" t="s">
        <v>419</v>
      </c>
      <c r="B34" s="283"/>
      <c r="C34" s="283"/>
    </row>
    <row r="35" spans="1:3" ht="23.25">
      <c r="A35" s="271" t="s">
        <v>420</v>
      </c>
      <c r="B35" s="271"/>
      <c r="C35" s="271"/>
    </row>
  </sheetData>
  <sheetProtection/>
  <mergeCells count="7">
    <mergeCell ref="A35:C35"/>
    <mergeCell ref="A1:C1"/>
    <mergeCell ref="A2:C2"/>
    <mergeCell ref="A3:C3"/>
    <mergeCell ref="A31:B31"/>
    <mergeCell ref="A33:C33"/>
    <mergeCell ref="A34:C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7"/>
  <sheetViews>
    <sheetView view="pageBreakPreview" zoomScaleSheetLayoutView="100" zoomScalePageLayoutView="0" workbookViewId="0" topLeftCell="A41">
      <selection activeCell="C49" sqref="C49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0" t="s">
        <v>444</v>
      </c>
      <c r="D1" s="290"/>
      <c r="E1" s="290"/>
    </row>
    <row r="2" spans="1:5" ht="19.5" customHeight="1">
      <c r="A2" s="285" t="s">
        <v>21</v>
      </c>
      <c r="B2" s="285"/>
      <c r="C2" s="285"/>
      <c r="D2" s="285"/>
      <c r="E2" s="285"/>
    </row>
    <row r="3" spans="1:5" ht="19.5" customHeight="1">
      <c r="A3" s="285" t="s">
        <v>528</v>
      </c>
      <c r="B3" s="285"/>
      <c r="C3" s="285"/>
      <c r="D3" s="285"/>
      <c r="E3" s="285"/>
    </row>
    <row r="4" spans="1:5" ht="19.5" customHeight="1">
      <c r="A4" s="291" t="s">
        <v>22</v>
      </c>
      <c r="B4" s="292"/>
      <c r="C4" s="293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4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5"/>
      <c r="D6" s="10" t="s">
        <v>27</v>
      </c>
      <c r="E6" s="29" t="s">
        <v>29</v>
      </c>
    </row>
    <row r="7" spans="1:5" ht="19.5" customHeight="1">
      <c r="A7" s="31"/>
      <c r="B7" s="31">
        <v>32914884.13</v>
      </c>
      <c r="C7" s="32" t="s">
        <v>30</v>
      </c>
      <c r="D7" s="10"/>
      <c r="E7" s="11">
        <v>35489312.99</v>
      </c>
    </row>
    <row r="8" spans="1:5" ht="19.5" customHeight="1">
      <c r="A8" s="11"/>
      <c r="B8" s="33"/>
      <c r="C8" s="32" t="s">
        <v>59</v>
      </c>
      <c r="D8" s="10"/>
      <c r="E8" s="11"/>
    </row>
    <row r="9" spans="1:5" ht="19.5" customHeight="1">
      <c r="A9" s="34">
        <v>387700</v>
      </c>
      <c r="B9" s="34">
        <f>37.38+266.08+105.67+13828.93+19166.52+358495.87+33616.58</f>
        <v>425517.03</v>
      </c>
      <c r="C9" s="6" t="s">
        <v>41</v>
      </c>
      <c r="D9" s="10" t="s">
        <v>354</v>
      </c>
      <c r="E9" s="11">
        <v>33616.58</v>
      </c>
    </row>
    <row r="10" spans="1:5" ht="19.5" customHeight="1">
      <c r="A10" s="34">
        <v>166750</v>
      </c>
      <c r="B10" s="34">
        <f>3461.4+1435+1623.4+4611+31758.8+57870+9527.2</f>
        <v>110286.8</v>
      </c>
      <c r="C10" s="6" t="s">
        <v>44</v>
      </c>
      <c r="D10" s="10" t="s">
        <v>355</v>
      </c>
      <c r="E10" s="11">
        <v>9527.2</v>
      </c>
    </row>
    <row r="11" spans="1:5" ht="19.5" customHeight="1">
      <c r="A11" s="34">
        <v>260000</v>
      </c>
      <c r="B11" s="34">
        <f>6709.96+4845.6+59080.76+6709.96+4845.6+183990.76+6564.1</f>
        <v>272746.74</v>
      </c>
      <c r="C11" s="6" t="s">
        <v>46</v>
      </c>
      <c r="D11" s="10" t="s">
        <v>356</v>
      </c>
      <c r="E11" s="35">
        <v>6564.1</v>
      </c>
    </row>
    <row r="12" spans="1:5" ht="19.5" customHeight="1">
      <c r="A12" s="34">
        <v>100800</v>
      </c>
      <c r="B12" s="34">
        <f>20000+400+41700+200+19000+4750</f>
        <v>86050</v>
      </c>
      <c r="C12" s="6" t="s">
        <v>48</v>
      </c>
      <c r="D12" s="10" t="s">
        <v>357</v>
      </c>
      <c r="E12" s="35">
        <v>4750</v>
      </c>
    </row>
    <row r="13" spans="1:5" ht="19.5" customHeight="1">
      <c r="A13" s="34">
        <v>500</v>
      </c>
      <c r="B13" s="34">
        <f>310</f>
        <v>310</v>
      </c>
      <c r="C13" s="6" t="s">
        <v>81</v>
      </c>
      <c r="D13" s="10" t="s">
        <v>358</v>
      </c>
      <c r="E13" s="35">
        <v>0</v>
      </c>
    </row>
    <row r="14" spans="1:5" ht="19.5" customHeight="1">
      <c r="A14" s="34">
        <v>13207700</v>
      </c>
      <c r="B14" s="34">
        <f>1250419.28+1383075.61+424805.9+1264352.25+1235158.02+1171154.62+1394262.86</f>
        <v>8123228.540000001</v>
      </c>
      <c r="C14" s="6" t="s">
        <v>50</v>
      </c>
      <c r="D14" s="10" t="s">
        <v>359</v>
      </c>
      <c r="E14" s="35">
        <v>1394262.86</v>
      </c>
    </row>
    <row r="15" spans="1:5" ht="19.5" customHeight="1">
      <c r="A15" s="135">
        <v>8299400</v>
      </c>
      <c r="B15" s="103">
        <f>902080+2834237+943080+1620321+892080</f>
        <v>7191798</v>
      </c>
      <c r="C15" s="6" t="s">
        <v>132</v>
      </c>
      <c r="D15" s="10" t="s">
        <v>360</v>
      </c>
      <c r="E15" s="35">
        <v>892080</v>
      </c>
    </row>
    <row r="16" spans="1:5" ht="19.5" customHeight="1">
      <c r="A16" s="36">
        <f>SUM(A9:A15)</f>
        <v>22422850</v>
      </c>
      <c r="B16" s="36">
        <f>SUM(B9:B15)</f>
        <v>16209937.110000001</v>
      </c>
      <c r="C16" s="6" t="s">
        <v>20</v>
      </c>
      <c r="D16" s="83"/>
      <c r="E16" s="37">
        <f>SUM(E9:E15)</f>
        <v>2340800.74</v>
      </c>
    </row>
    <row r="17" spans="1:5" ht="19.5" customHeight="1">
      <c r="A17" s="84"/>
      <c r="B17" s="34">
        <f>500+62500+1000+1000+234000+302330+12100</f>
        <v>613430</v>
      </c>
      <c r="C17" s="6" t="s">
        <v>37</v>
      </c>
      <c r="D17" s="10" t="s">
        <v>361</v>
      </c>
      <c r="E17" s="11">
        <v>12100</v>
      </c>
    </row>
    <row r="18" spans="1:5" ht="19.5" customHeight="1">
      <c r="A18" s="84"/>
      <c r="B18" s="34">
        <f>1368700+846028+19900</f>
        <v>2234628</v>
      </c>
      <c r="C18" s="6" t="s">
        <v>124</v>
      </c>
      <c r="D18" s="10" t="s">
        <v>364</v>
      </c>
      <c r="E18" s="11">
        <v>19900</v>
      </c>
    </row>
    <row r="19" spans="1:5" ht="19.5" customHeight="1">
      <c r="A19" s="84"/>
      <c r="B19" s="34">
        <f>32.93+1271.81+75.65+77.43+784.98+186.01</f>
        <v>2428.8100000000004</v>
      </c>
      <c r="C19" s="6" t="s">
        <v>350</v>
      </c>
      <c r="D19" s="10" t="s">
        <v>381</v>
      </c>
      <c r="E19" s="11">
        <v>0</v>
      </c>
    </row>
    <row r="20" spans="1:5" ht="19.5" customHeight="1">
      <c r="A20" s="84"/>
      <c r="B20" s="34">
        <f>26000+240000+154000+180000</f>
        <v>600000</v>
      </c>
      <c r="C20" s="6" t="s">
        <v>351</v>
      </c>
      <c r="D20" s="10" t="s">
        <v>362</v>
      </c>
      <c r="E20" s="11">
        <v>0</v>
      </c>
    </row>
    <row r="21" spans="1:5" ht="19.5" customHeight="1">
      <c r="A21" s="84"/>
      <c r="B21" s="34">
        <f>329439.05+116317.61+21846.58+93486.71+36288.35+45772.03+56478.57</f>
        <v>699628.8999999999</v>
      </c>
      <c r="C21" s="6" t="s">
        <v>135</v>
      </c>
      <c r="D21" s="10" t="s">
        <v>363</v>
      </c>
      <c r="E21" s="11">
        <v>56478.57</v>
      </c>
    </row>
    <row r="22" spans="1:5" ht="19.5" customHeight="1">
      <c r="A22" s="84"/>
      <c r="B22" s="34">
        <f>1770600+590200+590200+1180400</f>
        <v>4131400</v>
      </c>
      <c r="C22" s="204" t="s">
        <v>452</v>
      </c>
      <c r="D22" s="10" t="s">
        <v>454</v>
      </c>
      <c r="E22" s="11">
        <v>0</v>
      </c>
    </row>
    <row r="23" spans="1:5" ht="19.5" customHeight="1">
      <c r="A23" s="84"/>
      <c r="B23" s="34">
        <f>291000+329800+465600</f>
        <v>1086400</v>
      </c>
      <c r="C23" s="204" t="s">
        <v>453</v>
      </c>
      <c r="D23" s="10" t="s">
        <v>455</v>
      </c>
      <c r="E23" s="11">
        <v>0</v>
      </c>
    </row>
    <row r="24" spans="1:5" ht="19.5" customHeight="1">
      <c r="A24" s="84"/>
      <c r="B24" s="34">
        <f>62685+20895+41790+85305</f>
        <v>210675</v>
      </c>
      <c r="C24" s="204" t="s">
        <v>461</v>
      </c>
      <c r="D24" s="10" t="s">
        <v>457</v>
      </c>
      <c r="E24" s="11">
        <v>85305</v>
      </c>
    </row>
    <row r="25" spans="1:5" ht="19.5" customHeight="1">
      <c r="A25" s="84"/>
      <c r="B25" s="34">
        <f>1049248</f>
        <v>1049248</v>
      </c>
      <c r="C25" s="204" t="s">
        <v>458</v>
      </c>
      <c r="D25" s="10" t="s">
        <v>459</v>
      </c>
      <c r="E25" s="11">
        <v>0</v>
      </c>
    </row>
    <row r="26" spans="1:5" ht="19.5" customHeight="1">
      <c r="A26" s="84"/>
      <c r="B26" s="34">
        <f>71400+71400</f>
        <v>142800</v>
      </c>
      <c r="C26" s="204" t="s">
        <v>460</v>
      </c>
      <c r="D26" s="10" t="s">
        <v>457</v>
      </c>
      <c r="E26" s="11">
        <v>71400</v>
      </c>
    </row>
    <row r="27" spans="1:5" ht="19.5" customHeight="1">
      <c r="A27" s="84"/>
      <c r="B27" s="34">
        <f>28000+23544+2458.2</f>
        <v>54002.2</v>
      </c>
      <c r="C27" s="6" t="s">
        <v>503</v>
      </c>
      <c r="D27" s="10"/>
      <c r="E27" s="11">
        <v>2458.2</v>
      </c>
    </row>
    <row r="28" spans="1:5" ht="19.5" customHeight="1">
      <c r="A28" s="84"/>
      <c r="B28" s="34">
        <f>35000</f>
        <v>35000</v>
      </c>
      <c r="C28" s="6" t="s">
        <v>514</v>
      </c>
      <c r="D28" s="10" t="s">
        <v>510</v>
      </c>
      <c r="E28" s="11">
        <v>0</v>
      </c>
    </row>
    <row r="29" spans="1:5" ht="19.5" customHeight="1">
      <c r="A29" s="84"/>
      <c r="B29" s="34">
        <f>25000</f>
        <v>25000</v>
      </c>
      <c r="C29" s="6" t="s">
        <v>515</v>
      </c>
      <c r="D29" s="10" t="s">
        <v>510</v>
      </c>
      <c r="E29" s="11">
        <v>0</v>
      </c>
    </row>
    <row r="30" spans="1:5" ht="19.5" customHeight="1">
      <c r="A30" s="84"/>
      <c r="B30" s="34"/>
      <c r="C30" s="6" t="s">
        <v>516</v>
      </c>
      <c r="D30" s="10"/>
      <c r="E30" s="11"/>
    </row>
    <row r="31" spans="1:5" ht="19.5" customHeight="1">
      <c r="A31" s="11"/>
      <c r="B31" s="34"/>
      <c r="C31" s="6"/>
      <c r="D31" s="10"/>
      <c r="E31" s="11"/>
    </row>
    <row r="32" spans="1:5" ht="19.5" customHeight="1">
      <c r="A32" s="38"/>
      <c r="B32" s="36">
        <f>SUM(B17:B31)</f>
        <v>10884640.91</v>
      </c>
      <c r="C32" s="6"/>
      <c r="D32" s="10"/>
      <c r="E32" s="37">
        <f>SUM(E17:E31)</f>
        <v>247641.77000000002</v>
      </c>
    </row>
    <row r="33" spans="1:5" ht="19.5" customHeight="1">
      <c r="A33" s="11"/>
      <c r="B33" s="36">
        <f>SUM(B32,B16)</f>
        <v>27094578.020000003</v>
      </c>
      <c r="C33" s="8" t="s">
        <v>31</v>
      </c>
      <c r="D33" s="10"/>
      <c r="E33" s="37">
        <f>SUM(E32,E16)</f>
        <v>2588442.5100000002</v>
      </c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f>567353</f>
        <v>567353</v>
      </c>
      <c r="B45" s="44">
        <f>148324+7259+142622+21549+29919+6643+8874</f>
        <v>365190</v>
      </c>
      <c r="C45" s="6" t="s">
        <v>32</v>
      </c>
      <c r="D45" s="10" t="s">
        <v>271</v>
      </c>
      <c r="E45" s="44">
        <v>8874</v>
      </c>
    </row>
    <row r="46" spans="1:5" ht="16.5" customHeight="1">
      <c r="A46" s="11">
        <v>2934400</v>
      </c>
      <c r="B46" s="44">
        <f>243060+243060+243060+243060+243060+243060+239700</f>
        <v>1698060</v>
      </c>
      <c r="C46" s="6" t="s">
        <v>346</v>
      </c>
      <c r="D46" s="10" t="s">
        <v>277</v>
      </c>
      <c r="E46" s="44">
        <v>239700</v>
      </c>
    </row>
    <row r="47" spans="1:5" ht="16.5" customHeight="1">
      <c r="A47" s="35">
        <f>2121400+1417500+250000+614000+20000</f>
        <v>4422900</v>
      </c>
      <c r="B47" s="44">
        <f>339580+339580+339580+339580+342414+340640+347740</f>
        <v>2389114</v>
      </c>
      <c r="C47" s="6" t="s">
        <v>347</v>
      </c>
      <c r="D47" s="10" t="s">
        <v>284</v>
      </c>
      <c r="E47" s="44">
        <v>347740</v>
      </c>
    </row>
    <row r="48" spans="1:5" ht="16.5" customHeight="1">
      <c r="A48" s="88">
        <v>168000</v>
      </c>
      <c r="B48" s="44">
        <f>12260+16735+12285+12285+12285+12285+12330</f>
        <v>90465</v>
      </c>
      <c r="C48" s="6" t="s">
        <v>348</v>
      </c>
      <c r="D48" s="10" t="s">
        <v>284</v>
      </c>
      <c r="E48" s="44">
        <v>12330</v>
      </c>
    </row>
    <row r="49" spans="1:5" ht="16.5" customHeight="1">
      <c r="A49" s="11">
        <f>1449000+55000+15000</f>
        <v>1519000</v>
      </c>
      <c r="B49" s="44">
        <f>103385+96785+104035+105785+96785+84458+128136</f>
        <v>719369</v>
      </c>
      <c r="C49" s="6" t="s">
        <v>349</v>
      </c>
      <c r="D49" s="10" t="s">
        <v>284</v>
      </c>
      <c r="E49" s="44">
        <v>128136</v>
      </c>
    </row>
    <row r="50" spans="1:5" ht="16.5" customHeight="1">
      <c r="A50" s="11">
        <f>1327000+261000+30000+340000-55000-15000-30000-15000+15000-20000</f>
        <v>1838000</v>
      </c>
      <c r="B50" s="44">
        <f>27320+24860+20100+23900+41250+18100+26050</f>
        <v>181580</v>
      </c>
      <c r="C50" s="6" t="s">
        <v>6</v>
      </c>
      <c r="D50" s="10" t="s">
        <v>292</v>
      </c>
      <c r="E50" s="44">
        <v>26050</v>
      </c>
    </row>
    <row r="51" spans="1:5" ht="16.5" customHeight="1">
      <c r="A51" s="11">
        <f>1365000+240000+688400+505000+445000+120000+430000+80000-30000+30000-30000+30000</f>
        <v>3873400</v>
      </c>
      <c r="B51" s="44">
        <f>51452+194111.05+89569+227493+444607+445308.05+146189.65</f>
        <v>1598729.75</v>
      </c>
      <c r="C51" s="6" t="s">
        <v>7</v>
      </c>
      <c r="D51" s="10" t="s">
        <v>298</v>
      </c>
      <c r="E51" s="44">
        <v>146189.65</v>
      </c>
    </row>
    <row r="52" spans="1:5" ht="16.5" customHeight="1">
      <c r="A52" s="11">
        <f>525000+1171920+20000+85000+30000</f>
        <v>1831920</v>
      </c>
      <c r="B52" s="44">
        <f>65582+36630+111261.2+133925.4+13780+94666.4+330651.52</f>
        <v>786496.52</v>
      </c>
      <c r="C52" s="6" t="s">
        <v>8</v>
      </c>
      <c r="D52" s="10" t="s">
        <v>303</v>
      </c>
      <c r="E52" s="44">
        <v>330651.52</v>
      </c>
    </row>
    <row r="53" spans="1:5" ht="16.5" customHeight="1">
      <c r="A53" s="11">
        <f>286000+70000</f>
        <v>356000</v>
      </c>
      <c r="B53" s="44">
        <f>20467.57+10526.7+17432.1+26219.71+13920+24157.01+13746.12</f>
        <v>126469.20999999998</v>
      </c>
      <c r="C53" s="6" t="s">
        <v>9</v>
      </c>
      <c r="D53" s="10" t="s">
        <v>316</v>
      </c>
      <c r="E53" s="44">
        <v>13746.12</v>
      </c>
    </row>
    <row r="54" spans="1:5" ht="16.5" customHeight="1">
      <c r="A54" s="11">
        <f>49900+105000+83000</f>
        <v>237900</v>
      </c>
      <c r="B54" s="44">
        <f>35000+13060.45+20000+5350</f>
        <v>73410.45</v>
      </c>
      <c r="C54" s="6" t="s">
        <v>56</v>
      </c>
      <c r="D54" s="10" t="s">
        <v>322</v>
      </c>
      <c r="E54" s="44">
        <v>5350</v>
      </c>
    </row>
    <row r="55" spans="1:5" ht="16.5" customHeight="1">
      <c r="A55" s="11">
        <f>105000+2276977</f>
        <v>2381977</v>
      </c>
      <c r="B55" s="44">
        <v>0</v>
      </c>
      <c r="C55" s="6" t="s">
        <v>57</v>
      </c>
      <c r="D55" s="10" t="s">
        <v>331</v>
      </c>
      <c r="E55" s="44">
        <v>0</v>
      </c>
    </row>
    <row r="56" spans="1:5" ht="16.5" customHeight="1">
      <c r="A56" s="11">
        <f>81000+2031000+180000</f>
        <v>2292000</v>
      </c>
      <c r="B56" s="44">
        <f>400800+11000+250800+411640</f>
        <v>1074240</v>
      </c>
      <c r="C56" s="6" t="s">
        <v>33</v>
      </c>
      <c r="D56" s="10" t="s">
        <v>335</v>
      </c>
      <c r="E56" s="44">
        <v>0</v>
      </c>
    </row>
    <row r="57" spans="1:5" ht="16.5" customHeight="1">
      <c r="A57" s="37">
        <f>SUM(A45:A56)</f>
        <v>22422850</v>
      </c>
      <c r="B57" s="45">
        <f>SUM(B45:B56)</f>
        <v>9103123.93</v>
      </c>
      <c r="C57" s="6"/>
      <c r="D57" s="10"/>
      <c r="E57" s="37">
        <f>SUM(E45:E56)</f>
        <v>1258767.29</v>
      </c>
    </row>
    <row r="58" spans="1:5" ht="16.5" customHeight="1">
      <c r="A58" s="11"/>
      <c r="B58" s="44">
        <f>500+62500+1000+1000+436830+99500+12100</f>
        <v>613430</v>
      </c>
      <c r="C58" s="6" t="s">
        <v>37</v>
      </c>
      <c r="D58" s="10" t="s">
        <v>361</v>
      </c>
      <c r="E58" s="11">
        <v>12100</v>
      </c>
    </row>
    <row r="59" spans="1:5" ht="16.5" customHeight="1">
      <c r="A59" s="11"/>
      <c r="B59" s="34">
        <f>694800+673900+172428+673600+19900</f>
        <v>2234628</v>
      </c>
      <c r="C59" s="6" t="s">
        <v>124</v>
      </c>
      <c r="D59" s="10" t="s">
        <v>364</v>
      </c>
      <c r="E59" s="11">
        <v>19900</v>
      </c>
    </row>
    <row r="60" spans="1:5" ht="16.5" customHeight="1">
      <c r="A60" s="11"/>
      <c r="B60" s="44">
        <f>78000+266000+96000+183000+60000</f>
        <v>683000</v>
      </c>
      <c r="C60" s="6" t="s">
        <v>351</v>
      </c>
      <c r="D60" s="10" t="s">
        <v>362</v>
      </c>
      <c r="E60" s="44">
        <v>0</v>
      </c>
    </row>
    <row r="61" spans="1:5" ht="16.5" customHeight="1">
      <c r="A61" s="11"/>
      <c r="B61" s="44">
        <f>41839.36+323778.5+863259.9+22706.89+75710.85+71461.99+55857.15</f>
        <v>1454614.64</v>
      </c>
      <c r="C61" s="6" t="s">
        <v>141</v>
      </c>
      <c r="D61" s="10" t="s">
        <v>363</v>
      </c>
      <c r="E61" s="44">
        <v>55857.15</v>
      </c>
    </row>
    <row r="62" spans="1:5" ht="16.5" customHeight="1">
      <c r="A62" s="11"/>
      <c r="B62" s="44">
        <f>185510.52+340000</f>
        <v>525510.52</v>
      </c>
      <c r="C62" s="6" t="s">
        <v>269</v>
      </c>
      <c r="D62" s="10" t="s">
        <v>387</v>
      </c>
      <c r="E62" s="44">
        <v>0</v>
      </c>
    </row>
    <row r="63" spans="1:5" ht="16.5" customHeight="1">
      <c r="A63" s="11"/>
      <c r="B63" s="44">
        <f>1240865</f>
        <v>1240865</v>
      </c>
      <c r="C63" s="6" t="s">
        <v>443</v>
      </c>
      <c r="D63" s="10" t="s">
        <v>388</v>
      </c>
      <c r="E63" s="44">
        <v>0</v>
      </c>
    </row>
    <row r="64" spans="1:5" ht="16.5" customHeight="1">
      <c r="A64" s="11"/>
      <c r="B64" s="44">
        <f>99180+2342000+369000+118000</f>
        <v>2928180</v>
      </c>
      <c r="C64" s="6" t="s">
        <v>10</v>
      </c>
      <c r="D64" s="10" t="s">
        <v>383</v>
      </c>
      <c r="E64" s="44">
        <v>118000</v>
      </c>
    </row>
    <row r="65" spans="1:5" ht="16.5" customHeight="1">
      <c r="A65" s="11"/>
      <c r="B65" s="44">
        <v>4049000</v>
      </c>
      <c r="C65" s="204" t="s">
        <v>452</v>
      </c>
      <c r="D65" s="10" t="s">
        <v>454</v>
      </c>
      <c r="E65" s="44">
        <v>573900</v>
      </c>
    </row>
    <row r="66" spans="1:5" ht="16.5" customHeight="1">
      <c r="A66" s="11"/>
      <c r="B66" s="44">
        <v>1036000</v>
      </c>
      <c r="C66" s="204" t="s">
        <v>453</v>
      </c>
      <c r="D66" s="10" t="s">
        <v>455</v>
      </c>
      <c r="E66" s="44">
        <v>146400</v>
      </c>
    </row>
    <row r="67" spans="1:5" ht="16.5" customHeight="1">
      <c r="A67" s="11"/>
      <c r="B67" s="44">
        <f>46836</f>
        <v>46836</v>
      </c>
      <c r="C67" s="204" t="s">
        <v>522</v>
      </c>
      <c r="D67" s="10" t="s">
        <v>457</v>
      </c>
      <c r="E67" s="44">
        <v>46836</v>
      </c>
    </row>
    <row r="68" spans="1:5" ht="16.5" customHeight="1">
      <c r="A68" s="11"/>
      <c r="B68" s="44">
        <f>36000+18000+18000+47400-11451</f>
        <v>107949</v>
      </c>
      <c r="C68" s="204" t="s">
        <v>476</v>
      </c>
      <c r="D68" s="10" t="s">
        <v>457</v>
      </c>
      <c r="E68" s="44">
        <v>-11451</v>
      </c>
    </row>
    <row r="69" spans="1:5" ht="16.5" customHeight="1">
      <c r="A69" s="11"/>
      <c r="B69" s="44">
        <f>1800+900+900+900+1470-620</f>
        <v>5350</v>
      </c>
      <c r="C69" s="204" t="s">
        <v>477</v>
      </c>
      <c r="D69" s="10" t="s">
        <v>457</v>
      </c>
      <c r="E69" s="44">
        <v>-620</v>
      </c>
    </row>
    <row r="70" spans="1:5" ht="16.5" customHeight="1">
      <c r="A70" s="11"/>
      <c r="B70" s="44">
        <f>28000+23544+2458.2</f>
        <v>54002.2</v>
      </c>
      <c r="C70" s="204" t="s">
        <v>503</v>
      </c>
      <c r="D70" s="10"/>
      <c r="E70" s="44">
        <v>2458.2</v>
      </c>
    </row>
    <row r="71" spans="1:5" ht="16.5" customHeight="1">
      <c r="A71" s="11"/>
      <c r="B71" s="44">
        <f>71365</f>
        <v>71365</v>
      </c>
      <c r="C71" s="204" t="s">
        <v>460</v>
      </c>
      <c r="D71" s="10" t="s">
        <v>457</v>
      </c>
      <c r="E71" s="44">
        <v>0</v>
      </c>
    </row>
    <row r="72" spans="1:5" ht="16.5" customHeight="1">
      <c r="A72" s="11"/>
      <c r="B72" s="44"/>
      <c r="C72" s="6"/>
      <c r="D72" s="10"/>
      <c r="E72" s="44"/>
    </row>
    <row r="73" spans="1:5" ht="16.5" customHeight="1">
      <c r="A73" s="11"/>
      <c r="B73" s="36">
        <f>SUM(B58:B72)</f>
        <v>15050730.36</v>
      </c>
      <c r="C73" s="6"/>
      <c r="D73" s="10"/>
      <c r="E73" s="37">
        <f>SUM(E58:E72)</f>
        <v>963380.35</v>
      </c>
    </row>
    <row r="74" spans="1:5" ht="16.5" customHeight="1">
      <c r="A74" s="11"/>
      <c r="B74" s="31">
        <f>B57+B73</f>
        <v>24153854.29</v>
      </c>
      <c r="C74" s="8"/>
      <c r="D74" s="10"/>
      <c r="E74" s="31">
        <f>E57+E73</f>
        <v>2222147.64</v>
      </c>
    </row>
    <row r="75" spans="1:5" ht="16.5" customHeight="1">
      <c r="A75" s="11"/>
      <c r="B75" s="36">
        <f>B33-B74</f>
        <v>2940723.730000004</v>
      </c>
      <c r="C75" s="6"/>
      <c r="D75" s="10"/>
      <c r="E75" s="37">
        <f>E33-E74</f>
        <v>366294.8700000001</v>
      </c>
    </row>
    <row r="76" spans="1:5" ht="16.5" customHeight="1" thickBot="1">
      <c r="A76" s="87"/>
      <c r="B76" s="46">
        <f>B7+B75</f>
        <v>35855607.86</v>
      </c>
      <c r="C76" s="47"/>
      <c r="D76" s="86"/>
      <c r="E76" s="46">
        <f>E7+E75</f>
        <v>35855607.86</v>
      </c>
    </row>
    <row r="77" spans="1:5" ht="16.5" customHeight="1" thickTop="1">
      <c r="A77" s="23"/>
      <c r="B77" s="39"/>
      <c r="C77" s="47"/>
      <c r="D77" s="12"/>
      <c r="E77" s="39"/>
    </row>
    <row r="78" spans="1:5" ht="16.5" customHeight="1">
      <c r="A78" s="6" t="s">
        <v>12</v>
      </c>
      <c r="B78" s="16"/>
      <c r="C78" s="22"/>
      <c r="D78" s="22"/>
      <c r="E78" s="22"/>
    </row>
    <row r="79" spans="1:5" ht="16.5" customHeight="1">
      <c r="A79" s="48" t="s">
        <v>13</v>
      </c>
      <c r="B79" s="16"/>
      <c r="C79" s="22"/>
      <c r="D79" s="22"/>
      <c r="E79" s="21"/>
    </row>
    <row r="80" spans="1:5" ht="16.5" customHeight="1">
      <c r="A80" s="48"/>
      <c r="B80" s="16"/>
      <c r="C80" s="22"/>
      <c r="D80" s="22"/>
      <c r="E80" s="21"/>
    </row>
    <row r="81" spans="1:5" ht="16.5" customHeight="1">
      <c r="A81" s="289" t="s">
        <v>16</v>
      </c>
      <c r="B81" s="289"/>
      <c r="C81" s="289"/>
      <c r="D81" s="289"/>
      <c r="E81" s="289"/>
    </row>
    <row r="82" spans="1:5" ht="16.5" customHeight="1">
      <c r="A82" s="289" t="s">
        <v>95</v>
      </c>
      <c r="B82" s="289"/>
      <c r="C82" s="289"/>
      <c r="D82" s="289"/>
      <c r="E82" s="289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289" t="s">
        <v>14</v>
      </c>
      <c r="B84" s="289"/>
      <c r="C84" s="289"/>
      <c r="D84" s="289"/>
      <c r="E84" s="289"/>
    </row>
    <row r="85" spans="1:5" ht="16.5" customHeight="1">
      <c r="A85" s="8"/>
      <c r="B85" s="8"/>
      <c r="C85" s="8"/>
      <c r="D85" s="8"/>
      <c r="E85" s="8"/>
    </row>
    <row r="86" spans="1:5" ht="16.5" customHeight="1">
      <c r="A86" s="6"/>
      <c r="B86" s="16"/>
      <c r="C86" s="22"/>
      <c r="D86" s="22"/>
      <c r="E86" s="6"/>
    </row>
    <row r="87" spans="1:5" ht="16.5" customHeight="1">
      <c r="A87" s="289" t="s">
        <v>131</v>
      </c>
      <c r="B87" s="289"/>
      <c r="C87" s="289"/>
      <c r="D87" s="289"/>
      <c r="E87" s="289"/>
    </row>
    <row r="88" spans="1:5" ht="16.5" customHeight="1">
      <c r="A88" s="289" t="s">
        <v>15</v>
      </c>
      <c r="B88" s="289"/>
      <c r="C88" s="289"/>
      <c r="D88" s="289"/>
      <c r="E88" s="289"/>
    </row>
    <row r="89" spans="1:5" ht="16.5" customHeight="1">
      <c r="A89" s="288">
        <v>240451</v>
      </c>
      <c r="B89" s="288"/>
      <c r="C89" s="288"/>
      <c r="D89" s="288"/>
      <c r="E89" s="288"/>
    </row>
    <row r="90" spans="1:5" ht="18" customHeight="1">
      <c r="A90" s="196"/>
      <c r="B90" s="196"/>
      <c r="C90" s="196"/>
      <c r="D90" s="196"/>
      <c r="E90" s="196"/>
    </row>
    <row r="91" spans="1:5" ht="19.5" customHeight="1">
      <c r="A91" s="285" t="s">
        <v>529</v>
      </c>
      <c r="B91" s="285"/>
      <c r="C91" s="285"/>
      <c r="D91" s="285"/>
      <c r="E91" s="285"/>
    </row>
    <row r="92" spans="1:5" ht="19.5" customHeight="1">
      <c r="A92" s="285" t="s">
        <v>17</v>
      </c>
      <c r="B92" s="285"/>
      <c r="C92" s="285"/>
      <c r="D92" s="285"/>
      <c r="E92" s="285"/>
    </row>
    <row r="93" spans="1:5" ht="19.5" customHeight="1">
      <c r="A93" s="284" t="s">
        <v>133</v>
      </c>
      <c r="B93" s="284"/>
      <c r="C93" s="25"/>
      <c r="D93" s="25"/>
      <c r="E93" s="47">
        <v>6893.15</v>
      </c>
    </row>
    <row r="94" spans="1:5" ht="19.5" customHeight="1">
      <c r="A94" s="284" t="s">
        <v>18</v>
      </c>
      <c r="B94" s="284"/>
      <c r="C94" s="25"/>
      <c r="D94" s="25"/>
      <c r="E94" s="47">
        <v>18450</v>
      </c>
    </row>
    <row r="95" spans="1:5" ht="19.5" customHeight="1">
      <c r="A95" s="51" t="s">
        <v>391</v>
      </c>
      <c r="B95" s="51"/>
      <c r="C95" s="25"/>
      <c r="D95" s="25"/>
      <c r="E95" s="47">
        <v>1876.1</v>
      </c>
    </row>
    <row r="96" spans="1:5" ht="19.5" customHeight="1">
      <c r="A96" s="51" t="s">
        <v>19</v>
      </c>
      <c r="B96" s="51"/>
      <c r="C96" s="25"/>
      <c r="D96" s="25"/>
      <c r="E96" s="47">
        <v>2251.32</v>
      </c>
    </row>
    <row r="97" spans="1:5" ht="19.5" customHeight="1">
      <c r="A97" s="49" t="s">
        <v>425</v>
      </c>
      <c r="B97" s="6"/>
      <c r="C97" s="6"/>
      <c r="D97" s="16"/>
      <c r="E97" s="49">
        <v>5754</v>
      </c>
    </row>
    <row r="98" spans="1:5" ht="19.5" customHeight="1">
      <c r="A98" s="284" t="s">
        <v>486</v>
      </c>
      <c r="B98" s="284"/>
      <c r="C98" s="51"/>
      <c r="D98" s="16"/>
      <c r="E98" s="49">
        <v>21254</v>
      </c>
    </row>
    <row r="99" spans="1:5" ht="19.5" customHeight="1">
      <c r="A99" s="25" t="s">
        <v>20</v>
      </c>
      <c r="B99" s="25"/>
      <c r="C99" s="6"/>
      <c r="D99" s="16"/>
      <c r="E99" s="50">
        <f>SUM(E93:E98)</f>
        <v>56478.57</v>
      </c>
    </row>
    <row r="100" spans="1:5" ht="19.5" customHeight="1">
      <c r="A100" s="25"/>
      <c r="B100" s="25"/>
      <c r="C100" s="6"/>
      <c r="D100" s="16"/>
      <c r="E100" s="50"/>
    </row>
    <row r="101" spans="1:5" ht="19.5" customHeight="1">
      <c r="A101" s="25"/>
      <c r="B101" s="25"/>
      <c r="C101" s="25"/>
      <c r="D101" s="16"/>
      <c r="E101" s="50"/>
    </row>
    <row r="102" spans="1:5" ht="19.5" customHeight="1">
      <c r="A102" s="287" t="s">
        <v>530</v>
      </c>
      <c r="B102" s="287"/>
      <c r="C102" s="287"/>
      <c r="D102" s="287"/>
      <c r="E102" s="287"/>
    </row>
    <row r="103" spans="1:5" ht="19.5" customHeight="1">
      <c r="A103" s="285" t="s">
        <v>17</v>
      </c>
      <c r="B103" s="285"/>
      <c r="C103" s="285"/>
      <c r="D103" s="285"/>
      <c r="E103" s="285"/>
    </row>
    <row r="104" spans="1:5" ht="19.5" customHeight="1">
      <c r="A104" s="284" t="s">
        <v>133</v>
      </c>
      <c r="B104" s="284"/>
      <c r="C104" s="25"/>
      <c r="D104" s="25"/>
      <c r="E104" s="47">
        <v>6893.15</v>
      </c>
    </row>
    <row r="105" spans="1:5" ht="19.5" customHeight="1">
      <c r="A105" s="284" t="s">
        <v>18</v>
      </c>
      <c r="B105" s="284"/>
      <c r="C105" s="25"/>
      <c r="D105" s="25"/>
      <c r="E105" s="47">
        <v>43210</v>
      </c>
    </row>
    <row r="106" spans="1:5" ht="19.5" customHeight="1">
      <c r="A106" s="51" t="s">
        <v>425</v>
      </c>
      <c r="B106" s="51"/>
      <c r="C106" s="25"/>
      <c r="D106" s="25"/>
      <c r="E106" s="47">
        <v>5754</v>
      </c>
    </row>
    <row r="107" spans="1:5" ht="19.5" customHeight="1">
      <c r="A107" s="25" t="s">
        <v>20</v>
      </c>
      <c r="B107" s="25"/>
      <c r="C107" s="25"/>
      <c r="D107" s="16"/>
      <c r="E107" s="52">
        <f>SUM(E104:E106)</f>
        <v>55857.15</v>
      </c>
    </row>
    <row r="108" spans="1:5" ht="19.5" customHeight="1">
      <c r="A108" s="25"/>
      <c r="B108" s="25"/>
      <c r="C108" s="25"/>
      <c r="D108" s="16"/>
      <c r="E108" s="52"/>
    </row>
    <row r="109" spans="1:5" ht="19.5" customHeight="1">
      <c r="A109" s="285" t="s">
        <v>531</v>
      </c>
      <c r="B109" s="285"/>
      <c r="C109" s="285"/>
      <c r="D109" s="285"/>
      <c r="E109" s="285"/>
    </row>
    <row r="110" spans="1:5" ht="19.5" customHeight="1">
      <c r="A110" s="285" t="s">
        <v>142</v>
      </c>
      <c r="B110" s="285"/>
      <c r="C110" s="285"/>
      <c r="D110" s="285"/>
      <c r="E110" s="285"/>
    </row>
    <row r="111" spans="1:5" ht="19.5" customHeight="1">
      <c r="A111" s="51" t="s">
        <v>431</v>
      </c>
      <c r="B111" s="51"/>
      <c r="C111" s="25"/>
      <c r="D111" s="25"/>
      <c r="E111" s="47">
        <v>0</v>
      </c>
    </row>
    <row r="112" spans="1:5" ht="19.5" customHeight="1">
      <c r="A112" s="51" t="s">
        <v>432</v>
      </c>
      <c r="B112" s="51"/>
      <c r="C112" s="25"/>
      <c r="D112" s="25"/>
      <c r="E112" s="47">
        <v>0</v>
      </c>
    </row>
    <row r="113" spans="1:5" ht="19.5" customHeight="1">
      <c r="A113" s="51" t="s">
        <v>433</v>
      </c>
      <c r="B113" s="47"/>
      <c r="C113" s="47"/>
      <c r="D113" s="47"/>
      <c r="E113" s="47">
        <v>0</v>
      </c>
    </row>
    <row r="114" spans="1:5" ht="19.5" customHeight="1">
      <c r="A114" s="51" t="s">
        <v>434</v>
      </c>
      <c r="B114" s="51"/>
      <c r="C114" s="25"/>
      <c r="D114" s="25"/>
      <c r="E114" s="47">
        <v>0</v>
      </c>
    </row>
    <row r="115" spans="1:5" ht="19.5" customHeight="1">
      <c r="A115" s="51" t="s">
        <v>435</v>
      </c>
      <c r="B115" s="51"/>
      <c r="C115" s="51"/>
      <c r="D115" s="25"/>
      <c r="E115" s="47">
        <v>0</v>
      </c>
    </row>
    <row r="116" spans="1:5" ht="19.5" customHeight="1">
      <c r="A116" s="284" t="s">
        <v>436</v>
      </c>
      <c r="B116" s="284"/>
      <c r="C116" s="284"/>
      <c r="D116" s="25"/>
      <c r="E116" s="47">
        <v>0</v>
      </c>
    </row>
    <row r="117" spans="1:5" ht="19.5" customHeight="1">
      <c r="A117" s="51" t="s">
        <v>426</v>
      </c>
      <c r="B117" s="51"/>
      <c r="C117" s="51"/>
      <c r="D117" s="25"/>
      <c r="E117" s="47">
        <v>0</v>
      </c>
    </row>
    <row r="118" spans="1:5" ht="19.5" customHeight="1">
      <c r="A118" s="51" t="s">
        <v>427</v>
      </c>
      <c r="B118" s="51"/>
      <c r="C118" s="51"/>
      <c r="D118" s="25"/>
      <c r="E118" s="47">
        <v>0</v>
      </c>
    </row>
    <row r="119" spans="1:5" ht="19.5" customHeight="1">
      <c r="A119" s="284" t="s">
        <v>428</v>
      </c>
      <c r="B119" s="284"/>
      <c r="C119" s="284"/>
      <c r="D119" s="25"/>
      <c r="E119" s="47">
        <v>0</v>
      </c>
    </row>
    <row r="120" spans="1:5" ht="19.5" customHeight="1">
      <c r="A120" s="284" t="s">
        <v>429</v>
      </c>
      <c r="B120" s="284"/>
      <c r="C120" s="284"/>
      <c r="D120" s="25"/>
      <c r="E120" s="47">
        <v>0</v>
      </c>
    </row>
    <row r="121" spans="1:5" ht="19.5" customHeight="1">
      <c r="A121" s="284" t="s">
        <v>430</v>
      </c>
      <c r="B121" s="284"/>
      <c r="C121" s="284"/>
      <c r="D121" s="16"/>
      <c r="E121" s="49">
        <v>0</v>
      </c>
    </row>
    <row r="122" spans="1:5" ht="19.5" customHeight="1">
      <c r="A122" s="284" t="s">
        <v>504</v>
      </c>
      <c r="B122" s="284"/>
      <c r="C122" s="284"/>
      <c r="D122" s="16"/>
      <c r="E122" s="49">
        <v>0</v>
      </c>
    </row>
    <row r="123" spans="1:5" ht="19.5" customHeight="1">
      <c r="A123" s="25" t="s">
        <v>20</v>
      </c>
      <c r="B123" s="25"/>
      <c r="C123" s="25"/>
      <c r="D123" s="16"/>
      <c r="E123" s="52">
        <v>0</v>
      </c>
    </row>
    <row r="124" spans="1:5" ht="19.5" customHeight="1">
      <c r="A124" s="287"/>
      <c r="B124" s="287"/>
      <c r="C124" s="287"/>
      <c r="D124" s="287"/>
      <c r="E124" s="287"/>
    </row>
    <row r="125" spans="1:5" ht="19.5" customHeight="1">
      <c r="A125" s="285"/>
      <c r="B125" s="285"/>
      <c r="C125" s="285"/>
      <c r="D125" s="285"/>
      <c r="E125" s="285"/>
    </row>
    <row r="126" spans="1:5" ht="19.5" customHeight="1">
      <c r="A126" s="51"/>
      <c r="B126" s="47"/>
      <c r="C126" s="47"/>
      <c r="D126" s="47"/>
      <c r="E126" s="47"/>
    </row>
    <row r="127" spans="1:5" ht="19.5" customHeight="1">
      <c r="A127" s="51"/>
      <c r="B127" s="51"/>
      <c r="C127" s="25"/>
      <c r="D127" s="25"/>
      <c r="E127" s="47"/>
    </row>
    <row r="128" spans="1:5" ht="19.5" customHeight="1">
      <c r="A128" s="51"/>
      <c r="B128" s="51"/>
      <c r="C128" s="51"/>
      <c r="D128" s="25"/>
      <c r="E128" s="47"/>
    </row>
    <row r="129" spans="1:5" ht="19.5" customHeight="1">
      <c r="A129" s="51"/>
      <c r="B129" s="51"/>
      <c r="C129" s="51"/>
      <c r="D129" s="25"/>
      <c r="E129" s="47"/>
    </row>
    <row r="130" spans="1:5" ht="19.5" customHeight="1">
      <c r="A130" s="51"/>
      <c r="B130" s="51"/>
      <c r="C130" s="51"/>
      <c r="D130" s="25"/>
      <c r="E130" s="47"/>
    </row>
    <row r="131" spans="1:5" ht="19.5" customHeight="1">
      <c r="A131" s="51"/>
      <c r="B131" s="51"/>
      <c r="C131" s="51"/>
      <c r="D131" s="25"/>
      <c r="E131" s="47"/>
    </row>
    <row r="132" spans="1:5" ht="19.5" customHeight="1">
      <c r="A132" s="51"/>
      <c r="B132" s="51"/>
      <c r="C132" s="51"/>
      <c r="D132" s="25"/>
      <c r="E132" s="47"/>
    </row>
    <row r="133" spans="1:5" ht="19.5" customHeight="1">
      <c r="A133" s="285" t="s">
        <v>532</v>
      </c>
      <c r="B133" s="285"/>
      <c r="C133" s="285"/>
      <c r="D133" s="285"/>
      <c r="E133" s="285"/>
    </row>
    <row r="134" spans="1:5" ht="19.5" customHeight="1">
      <c r="A134" s="285" t="s">
        <v>269</v>
      </c>
      <c r="B134" s="285"/>
      <c r="C134" s="285"/>
      <c r="D134" s="285"/>
      <c r="E134" s="285"/>
    </row>
    <row r="135" spans="1:5" ht="19.5" customHeight="1">
      <c r="A135" s="284" t="s">
        <v>437</v>
      </c>
      <c r="B135" s="284"/>
      <c r="C135" s="284"/>
      <c r="D135" s="25"/>
      <c r="E135" s="47">
        <v>0</v>
      </c>
    </row>
    <row r="136" spans="1:5" ht="19.5" customHeight="1">
      <c r="A136" s="284" t="s">
        <v>438</v>
      </c>
      <c r="B136" s="284"/>
      <c r="C136" s="284"/>
      <c r="D136" s="25"/>
      <c r="E136" s="47">
        <v>0</v>
      </c>
    </row>
    <row r="137" spans="1:5" ht="19.5" customHeight="1">
      <c r="A137" s="284" t="s">
        <v>439</v>
      </c>
      <c r="B137" s="284"/>
      <c r="C137" s="284"/>
      <c r="D137" s="25"/>
      <c r="E137" s="47">
        <v>0</v>
      </c>
    </row>
    <row r="138" spans="1:5" ht="19.5" customHeight="1">
      <c r="A138" s="284" t="s">
        <v>440</v>
      </c>
      <c r="B138" s="284"/>
      <c r="C138" s="284"/>
      <c r="D138" s="25"/>
      <c r="E138" s="47">
        <v>0</v>
      </c>
    </row>
    <row r="139" spans="1:5" ht="19.5" customHeight="1">
      <c r="A139" s="284" t="s">
        <v>441</v>
      </c>
      <c r="B139" s="284"/>
      <c r="C139" s="284"/>
      <c r="D139" s="25"/>
      <c r="E139" s="47">
        <v>0</v>
      </c>
    </row>
    <row r="140" spans="1:5" ht="19.5" customHeight="1">
      <c r="A140" s="286" t="s">
        <v>442</v>
      </c>
      <c r="B140" s="286"/>
      <c r="C140" s="286"/>
      <c r="D140" s="25"/>
      <c r="E140" s="25">
        <f>SUM(E135:E139)</f>
        <v>0</v>
      </c>
    </row>
    <row r="141" spans="1:5" ht="19.5" customHeight="1">
      <c r="A141" s="51"/>
      <c r="B141" s="51"/>
      <c r="C141" s="25"/>
      <c r="D141" s="25"/>
      <c r="E141" s="47">
        <v>0</v>
      </c>
    </row>
    <row r="142" spans="1:5" ht="19.5" customHeight="1">
      <c r="A142" s="51"/>
      <c r="B142" s="51"/>
      <c r="C142" s="25"/>
      <c r="D142" s="25"/>
      <c r="E142" s="47">
        <v>0</v>
      </c>
    </row>
    <row r="143" spans="1:5" ht="19.5" customHeight="1">
      <c r="A143" s="51"/>
      <c r="B143" s="51"/>
      <c r="C143" s="25"/>
      <c r="D143" s="25"/>
      <c r="E143" s="47">
        <v>0</v>
      </c>
    </row>
    <row r="144" spans="1:5" ht="19.5" customHeight="1">
      <c r="A144" s="51"/>
      <c r="B144" s="51"/>
      <c r="C144" s="25"/>
      <c r="D144" s="25"/>
      <c r="E144" s="47">
        <v>0</v>
      </c>
    </row>
    <row r="145" spans="1:5" ht="19.5" customHeight="1">
      <c r="A145" s="51"/>
      <c r="B145" s="51"/>
      <c r="C145" s="25"/>
      <c r="D145" s="25"/>
      <c r="E145" s="47">
        <v>0</v>
      </c>
    </row>
    <row r="146" spans="1:5" ht="19.5" customHeight="1">
      <c r="A146" s="51"/>
      <c r="B146" s="51"/>
      <c r="C146" s="25"/>
      <c r="D146" s="25"/>
      <c r="E146" s="47">
        <v>0</v>
      </c>
    </row>
    <row r="147" spans="1:5" ht="19.5" customHeight="1">
      <c r="A147" s="25"/>
      <c r="B147" s="25"/>
      <c r="C147" s="25"/>
      <c r="D147" s="16"/>
      <c r="E147" s="52">
        <v>0</v>
      </c>
    </row>
    <row r="148" spans="1:5" ht="19.5" customHeight="1">
      <c r="A148" s="25"/>
      <c r="B148" s="25"/>
      <c r="C148" s="25"/>
      <c r="D148" s="16"/>
      <c r="E148" s="52"/>
    </row>
    <row r="149" spans="1:5" ht="19.5" customHeight="1">
      <c r="A149" s="25"/>
      <c r="B149" s="25"/>
      <c r="C149" s="25"/>
      <c r="D149" s="16"/>
      <c r="E149" s="52"/>
    </row>
    <row r="150" spans="1:5" ht="19.5" customHeight="1">
      <c r="A150" s="25"/>
      <c r="B150" s="25"/>
      <c r="C150" s="25"/>
      <c r="D150" s="16"/>
      <c r="E150" s="52"/>
    </row>
    <row r="151" spans="1:5" ht="19.5" customHeight="1">
      <c r="A151" s="25"/>
      <c r="B151" s="25"/>
      <c r="C151" s="25"/>
      <c r="D151" s="16"/>
      <c r="E151" s="52"/>
    </row>
    <row r="152" spans="1:5" ht="19.5" customHeight="1">
      <c r="A152" s="25"/>
      <c r="B152" s="25"/>
      <c r="C152" s="25"/>
      <c r="D152" s="16"/>
      <c r="E152" s="52"/>
    </row>
    <row r="153" spans="1:5" ht="19.5" customHeight="1">
      <c r="A153" s="1"/>
      <c r="C153" s="25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1"/>
      <c r="D801" s="1"/>
      <c r="E801" s="1"/>
    </row>
    <row r="802" spans="1:5" ht="19.5" customHeight="1">
      <c r="A802" s="1"/>
      <c r="D802" s="1"/>
      <c r="E802" s="1"/>
    </row>
    <row r="803" spans="1:5" ht="19.5" customHeight="1">
      <c r="A803" s="3"/>
      <c r="B803" s="3"/>
      <c r="E803" s="5"/>
    </row>
    <row r="804" spans="1:5" ht="19.5" customHeight="1">
      <c r="A804" s="3"/>
      <c r="B804" s="3"/>
      <c r="E804" s="5"/>
    </row>
    <row r="805" spans="1:5" ht="19.5" customHeight="1">
      <c r="A805" s="3"/>
      <c r="B805" s="3"/>
      <c r="E805" s="5"/>
    </row>
    <row r="806" spans="1:5" ht="19.5" customHeight="1">
      <c r="A806" s="3"/>
      <c r="B806" s="3"/>
      <c r="E806" s="5"/>
    </row>
    <row r="807" spans="1:5" ht="19.5" customHeight="1">
      <c r="A807" s="3"/>
      <c r="B807" s="3"/>
      <c r="E807" s="5"/>
    </row>
  </sheetData>
  <sheetProtection/>
  <mergeCells count="37">
    <mergeCell ref="A82:E82"/>
    <mergeCell ref="A116:C116"/>
    <mergeCell ref="C1:E1"/>
    <mergeCell ref="A2:E2"/>
    <mergeCell ref="A3:E3"/>
    <mergeCell ref="A4:B4"/>
    <mergeCell ref="C4:C6"/>
    <mergeCell ref="A81:E81"/>
    <mergeCell ref="A84:E84"/>
    <mergeCell ref="A87:E87"/>
    <mergeCell ref="A88:E88"/>
    <mergeCell ref="A92:E92"/>
    <mergeCell ref="A91:E91"/>
    <mergeCell ref="A135:C135"/>
    <mergeCell ref="A125:E125"/>
    <mergeCell ref="A93:B93"/>
    <mergeCell ref="A109:E109"/>
    <mergeCell ref="A102:E102"/>
    <mergeCell ref="A122:C122"/>
    <mergeCell ref="A104:B104"/>
    <mergeCell ref="A140:C140"/>
    <mergeCell ref="A121:C121"/>
    <mergeCell ref="A124:E124"/>
    <mergeCell ref="A133:E133"/>
    <mergeCell ref="A134:E134"/>
    <mergeCell ref="A89:E89"/>
    <mergeCell ref="A138:C138"/>
    <mergeCell ref="A139:C139"/>
    <mergeCell ref="A120:C120"/>
    <mergeCell ref="A103:E103"/>
    <mergeCell ref="A137:C137"/>
    <mergeCell ref="A105:B105"/>
    <mergeCell ref="A110:E110"/>
    <mergeCell ref="A94:B94"/>
    <mergeCell ref="A98:B98"/>
    <mergeCell ref="A119:C119"/>
    <mergeCell ref="A136:C136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SheetLayoutView="100" workbookViewId="0" topLeftCell="A4">
      <selection activeCell="A10" sqref="A10"/>
    </sheetView>
  </sheetViews>
  <sheetFormatPr defaultColWidth="9.140625" defaultRowHeight="12.75"/>
  <cols>
    <col min="1" max="1" width="42.28125" style="164" customWidth="1"/>
    <col min="2" max="2" width="7.140625" style="153" customWidth="1"/>
    <col min="3" max="3" width="12.00390625" style="154" customWidth="1"/>
    <col min="4" max="4" width="11.7109375" style="154" customWidth="1"/>
    <col min="5" max="5" width="11.8515625" style="154" bestFit="1" customWidth="1"/>
    <col min="6" max="6" width="12.8515625" style="154" customWidth="1"/>
    <col min="7" max="16384" width="9.140625" style="1" customWidth="1"/>
  </cols>
  <sheetData>
    <row r="1" spans="1:6" ht="18.75">
      <c r="A1" s="287"/>
      <c r="B1" s="287"/>
      <c r="C1" s="287"/>
      <c r="D1" s="287"/>
      <c r="E1" s="287"/>
      <c r="F1" s="287"/>
    </row>
    <row r="2" spans="1:6" ht="18.75">
      <c r="A2" s="287" t="s">
        <v>527</v>
      </c>
      <c r="B2" s="287"/>
      <c r="C2" s="287"/>
      <c r="D2" s="287"/>
      <c r="E2" s="287"/>
      <c r="F2" s="287"/>
    </row>
    <row r="3" spans="1:6" ht="18.75">
      <c r="A3" s="303" t="s">
        <v>80</v>
      </c>
      <c r="B3" s="303"/>
      <c r="C3" s="303"/>
      <c r="D3" s="303"/>
      <c r="E3" s="303"/>
      <c r="F3" s="303"/>
    </row>
    <row r="4" spans="1:6" ht="18.75">
      <c r="A4" s="298" t="s">
        <v>11</v>
      </c>
      <c r="B4" s="299"/>
      <c r="C4" s="300"/>
      <c r="D4" s="300"/>
      <c r="E4" s="300"/>
      <c r="F4" s="301"/>
    </row>
    <row r="5" spans="1:6" ht="18.75">
      <c r="A5" s="297" t="s">
        <v>25</v>
      </c>
      <c r="B5" s="296" t="s">
        <v>3</v>
      </c>
      <c r="C5" s="296" t="s">
        <v>23</v>
      </c>
      <c r="D5" s="296" t="s">
        <v>38</v>
      </c>
      <c r="E5" s="296" t="s">
        <v>39</v>
      </c>
      <c r="F5" s="141" t="s">
        <v>143</v>
      </c>
    </row>
    <row r="6" spans="1:6" ht="18.75">
      <c r="A6" s="297"/>
      <c r="B6" s="296"/>
      <c r="C6" s="296"/>
      <c r="D6" s="296"/>
      <c r="E6" s="296"/>
      <c r="F6" s="141" t="s">
        <v>23</v>
      </c>
    </row>
    <row r="7" spans="1:6" ht="18.75">
      <c r="A7" s="155" t="s">
        <v>40</v>
      </c>
      <c r="B7" s="146"/>
      <c r="C7" s="142"/>
      <c r="D7" s="142"/>
      <c r="E7" s="142"/>
      <c r="F7" s="142"/>
    </row>
    <row r="8" spans="1:6" ht="18.75">
      <c r="A8" s="156" t="s">
        <v>41</v>
      </c>
      <c r="B8" s="83" t="s">
        <v>354</v>
      </c>
      <c r="C8" s="88"/>
      <c r="D8" s="88"/>
      <c r="E8" s="88"/>
      <c r="F8" s="88"/>
    </row>
    <row r="9" spans="1:6" ht="18.75">
      <c r="A9" s="157" t="s">
        <v>42</v>
      </c>
      <c r="B9" s="143">
        <v>411001</v>
      </c>
      <c r="C9" s="88">
        <v>261700</v>
      </c>
      <c r="D9" s="228">
        <v>222</v>
      </c>
      <c r="E9" s="88">
        <f>2493+6824+302590+222</f>
        <v>312129</v>
      </c>
      <c r="F9" s="88">
        <f>E9-C9</f>
        <v>50429</v>
      </c>
    </row>
    <row r="10" spans="1:6" ht="18.75">
      <c r="A10" s="157" t="s">
        <v>43</v>
      </c>
      <c r="B10" s="143">
        <v>411002</v>
      </c>
      <c r="C10" s="88">
        <v>114000</v>
      </c>
      <c r="D10" s="88">
        <v>33394.58</v>
      </c>
      <c r="E10" s="88">
        <f>37.38+266.08+105.67+11335.93+12342.52+42348.87+33394.58</f>
        <v>99831.03000000001</v>
      </c>
      <c r="F10" s="88">
        <f>E10-C10</f>
        <v>-14168.969999999987</v>
      </c>
    </row>
    <row r="11" spans="1:6" ht="18.75">
      <c r="A11" s="157" t="s">
        <v>58</v>
      </c>
      <c r="B11" s="143">
        <v>411003</v>
      </c>
      <c r="C11" s="88">
        <v>12000</v>
      </c>
      <c r="D11" s="226">
        <v>0</v>
      </c>
      <c r="E11" s="88">
        <f>13557</f>
        <v>13557</v>
      </c>
      <c r="F11" s="88">
        <f>E11-C11</f>
        <v>1557</v>
      </c>
    </row>
    <row r="12" spans="1:6" ht="19.5" thickBot="1">
      <c r="A12" s="158" t="s">
        <v>20</v>
      </c>
      <c r="B12" s="6"/>
      <c r="C12" s="145">
        <f>SUM(C9:C11)</f>
        <v>387700</v>
      </c>
      <c r="D12" s="145">
        <f>SUM(D9:D11)</f>
        <v>33616.58</v>
      </c>
      <c r="E12" s="145">
        <f>SUM(E9:E11)</f>
        <v>425517.03</v>
      </c>
      <c r="F12" s="145">
        <f>SUM(F9:F11)</f>
        <v>37817.03000000001</v>
      </c>
    </row>
    <row r="13" spans="1:6" ht="19.5" thickTop="1">
      <c r="A13" s="159" t="s">
        <v>44</v>
      </c>
      <c r="B13" s="140" t="s">
        <v>355</v>
      </c>
      <c r="C13" s="88"/>
      <c r="D13" s="88"/>
      <c r="E13" s="88"/>
      <c r="F13" s="88"/>
    </row>
    <row r="14" spans="1:6" ht="18.75">
      <c r="A14" s="263" t="s">
        <v>421</v>
      </c>
      <c r="B14" s="16" t="s">
        <v>422</v>
      </c>
      <c r="C14" s="88">
        <v>1300</v>
      </c>
      <c r="D14" s="88">
        <v>58.2</v>
      </c>
      <c r="E14" s="88">
        <f>19.4+19.4+1164+38.8+58.2</f>
        <v>1299.8</v>
      </c>
      <c r="F14" s="88">
        <f>E14-C14</f>
        <v>-0.20000000000004547</v>
      </c>
    </row>
    <row r="15" spans="1:6" ht="18.75">
      <c r="A15" s="157" t="s">
        <v>45</v>
      </c>
      <c r="B15" s="143">
        <v>412106</v>
      </c>
      <c r="C15" s="88">
        <v>1600</v>
      </c>
      <c r="D15" s="88">
        <v>157</v>
      </c>
      <c r="E15" s="88">
        <f>52+275+44+547+320+157</f>
        <v>1395</v>
      </c>
      <c r="F15" s="88">
        <f aca="true" t="shared" si="0" ref="F15:F23">E15-C15</f>
        <v>-205</v>
      </c>
    </row>
    <row r="16" spans="1:6" ht="18.75">
      <c r="A16" s="157" t="s">
        <v>365</v>
      </c>
      <c r="B16" s="143">
        <v>412111</v>
      </c>
      <c r="C16" s="88">
        <v>150</v>
      </c>
      <c r="D16" s="228">
        <v>10</v>
      </c>
      <c r="E16" s="88">
        <f>20+30+10</f>
        <v>60</v>
      </c>
      <c r="F16" s="88">
        <f t="shared" si="0"/>
        <v>-90</v>
      </c>
    </row>
    <row r="17" spans="1:6" ht="18.75">
      <c r="A17" s="157" t="s">
        <v>82</v>
      </c>
      <c r="B17" s="143">
        <v>412128</v>
      </c>
      <c r="C17" s="88">
        <v>300</v>
      </c>
      <c r="D17" s="88">
        <v>0</v>
      </c>
      <c r="E17" s="88">
        <f>150</f>
        <v>150</v>
      </c>
      <c r="F17" s="88">
        <f t="shared" si="0"/>
        <v>-150</v>
      </c>
    </row>
    <row r="18" spans="1:6" ht="18.75">
      <c r="A18" s="157" t="s">
        <v>136</v>
      </c>
      <c r="B18" s="10" t="s">
        <v>366</v>
      </c>
      <c r="C18" s="88">
        <v>82000</v>
      </c>
      <c r="D18" s="88">
        <v>2242</v>
      </c>
      <c r="E18" s="88">
        <f>1200+30600+2242</f>
        <v>34042</v>
      </c>
      <c r="F18" s="88">
        <f t="shared" si="0"/>
        <v>-47958</v>
      </c>
    </row>
    <row r="19" spans="1:6" ht="18.75">
      <c r="A19" s="157" t="s">
        <v>137</v>
      </c>
      <c r="B19" s="10" t="s">
        <v>367</v>
      </c>
      <c r="C19" s="88">
        <v>4000</v>
      </c>
      <c r="D19" s="228">
        <v>5000</v>
      </c>
      <c r="E19" s="88">
        <f>5000</f>
        <v>5000</v>
      </c>
      <c r="F19" s="88">
        <f t="shared" si="0"/>
        <v>1000</v>
      </c>
    </row>
    <row r="20" spans="1:6" ht="18.75">
      <c r="A20" s="157" t="s">
        <v>368</v>
      </c>
      <c r="B20" s="10" t="s">
        <v>369</v>
      </c>
      <c r="C20" s="88">
        <v>60000</v>
      </c>
      <c r="D20" s="88">
        <v>100</v>
      </c>
      <c r="E20" s="88">
        <f>900+1100+54900+100</f>
        <v>57000</v>
      </c>
      <c r="F20" s="88">
        <f t="shared" si="0"/>
        <v>-3000</v>
      </c>
    </row>
    <row r="21" spans="1:6" ht="18.75">
      <c r="A21" s="157" t="s">
        <v>138</v>
      </c>
      <c r="B21" s="10" t="s">
        <v>370</v>
      </c>
      <c r="C21" s="88">
        <v>17000</v>
      </c>
      <c r="D21" s="88">
        <v>1920</v>
      </c>
      <c r="E21" s="88">
        <f>2170+1060+1540+1920+2370+1920</f>
        <v>10980</v>
      </c>
      <c r="F21" s="88">
        <f t="shared" si="0"/>
        <v>-6020</v>
      </c>
    </row>
    <row r="22" spans="1:6" ht="18.75">
      <c r="A22" s="157" t="s">
        <v>139</v>
      </c>
      <c r="B22" s="10" t="s">
        <v>371</v>
      </c>
      <c r="C22" s="88">
        <v>400</v>
      </c>
      <c r="D22" s="88">
        <v>40</v>
      </c>
      <c r="E22" s="88">
        <f>20+100+20+80+100+40</f>
        <v>360</v>
      </c>
      <c r="F22" s="88">
        <f t="shared" si="0"/>
        <v>-40</v>
      </c>
    </row>
    <row r="23" spans="1:6" ht="19.5" thickBot="1">
      <c r="A23" s="158" t="s">
        <v>20</v>
      </c>
      <c r="B23" s="146"/>
      <c r="C23" s="145">
        <f>SUM(C14:C22)</f>
        <v>166750</v>
      </c>
      <c r="D23" s="145">
        <f>SUM(D14:D22)</f>
        <v>9527.2</v>
      </c>
      <c r="E23" s="145">
        <f>SUM(E14:E22)</f>
        <v>110286.8</v>
      </c>
      <c r="F23" s="145">
        <f t="shared" si="0"/>
        <v>-56463.2</v>
      </c>
    </row>
    <row r="24" spans="1:6" ht="19.5" thickTop="1">
      <c r="A24" s="160" t="s">
        <v>46</v>
      </c>
      <c r="B24" s="83" t="s">
        <v>356</v>
      </c>
      <c r="C24" s="88"/>
      <c r="D24" s="88"/>
      <c r="E24" s="88"/>
      <c r="F24" s="88"/>
    </row>
    <row r="25" spans="1:6" ht="18.75">
      <c r="A25" s="157" t="s">
        <v>47</v>
      </c>
      <c r="B25" s="10" t="s">
        <v>372</v>
      </c>
      <c r="C25" s="88">
        <v>260000</v>
      </c>
      <c r="D25" s="88">
        <v>6564.1</v>
      </c>
      <c r="E25" s="88">
        <f>6709.96+4845.6+59080.76+6709.96+4845.6+183990.76+6564.1</f>
        <v>272746.74</v>
      </c>
      <c r="F25" s="88">
        <f>E25-C25</f>
        <v>12746.73999999999</v>
      </c>
    </row>
    <row r="26" spans="1:6" ht="19.5" thickBot="1">
      <c r="A26" s="158" t="s">
        <v>20</v>
      </c>
      <c r="B26" s="146"/>
      <c r="C26" s="145">
        <f>SUM(C25)</f>
        <v>260000</v>
      </c>
      <c r="D26" s="145">
        <f>SUM(D25)</f>
        <v>6564.1</v>
      </c>
      <c r="E26" s="145">
        <f>SUM(E25)</f>
        <v>272746.74</v>
      </c>
      <c r="F26" s="145">
        <f>SUM(F25)</f>
        <v>12746.73999999999</v>
      </c>
    </row>
    <row r="27" spans="1:6" ht="19.5" thickTop="1">
      <c r="A27" s="160" t="s">
        <v>48</v>
      </c>
      <c r="B27" s="83" t="s">
        <v>357</v>
      </c>
      <c r="C27" s="88"/>
      <c r="D27" s="88"/>
      <c r="E27" s="88"/>
      <c r="F27" s="88"/>
    </row>
    <row r="28" spans="1:6" ht="18.75">
      <c r="A28" s="157" t="s">
        <v>49</v>
      </c>
      <c r="B28" s="10" t="s">
        <v>373</v>
      </c>
      <c r="C28" s="88">
        <v>100000</v>
      </c>
      <c r="D28" s="147">
        <v>4750</v>
      </c>
      <c r="E28" s="88">
        <f>20000+41600+19000+4750</f>
        <v>85350</v>
      </c>
      <c r="F28" s="88">
        <f>E28-C28</f>
        <v>-14650</v>
      </c>
    </row>
    <row r="29" spans="1:6" ht="18.75">
      <c r="A29" s="157" t="s">
        <v>83</v>
      </c>
      <c r="B29" s="10" t="s">
        <v>374</v>
      </c>
      <c r="C29" s="88">
        <v>100</v>
      </c>
      <c r="D29" s="228">
        <v>0</v>
      </c>
      <c r="E29" s="88">
        <v>0</v>
      </c>
      <c r="F29" s="88">
        <f>E29-C29</f>
        <v>-100</v>
      </c>
    </row>
    <row r="30" spans="1:6" ht="18.75">
      <c r="A30" s="157" t="s">
        <v>84</v>
      </c>
      <c r="B30" s="10" t="s">
        <v>375</v>
      </c>
      <c r="C30" s="88">
        <v>700</v>
      </c>
      <c r="D30" s="147">
        <v>0</v>
      </c>
      <c r="E30" s="88">
        <f>400+100+200</f>
        <v>700</v>
      </c>
      <c r="F30" s="88">
        <f>E30-C30</f>
        <v>0</v>
      </c>
    </row>
    <row r="31" spans="1:6" ht="19.5" thickBot="1">
      <c r="A31" s="158" t="s">
        <v>20</v>
      </c>
      <c r="B31" s="10"/>
      <c r="C31" s="145">
        <f>SUM(C28:C30)</f>
        <v>100800</v>
      </c>
      <c r="D31" s="145">
        <f>SUM(D28:D30)</f>
        <v>4750</v>
      </c>
      <c r="E31" s="145">
        <f>SUM(E28:E30)</f>
        <v>86050</v>
      </c>
      <c r="F31" s="145">
        <f>SUM(F28:F30)</f>
        <v>-14750</v>
      </c>
    </row>
    <row r="32" spans="1:6" ht="19.5" thickTop="1">
      <c r="A32" s="156" t="s">
        <v>81</v>
      </c>
      <c r="B32" s="83" t="s">
        <v>358</v>
      </c>
      <c r="C32" s="88"/>
      <c r="D32" s="88"/>
      <c r="E32" s="88"/>
      <c r="F32" s="88"/>
    </row>
    <row r="33" spans="1:6" ht="18.75">
      <c r="A33" s="157" t="s">
        <v>85</v>
      </c>
      <c r="B33" s="10" t="s">
        <v>376</v>
      </c>
      <c r="C33" s="88">
        <v>500</v>
      </c>
      <c r="D33" s="228">
        <v>0</v>
      </c>
      <c r="E33" s="228">
        <f>310</f>
        <v>310</v>
      </c>
      <c r="F33" s="88">
        <f>E33-C33</f>
        <v>-190</v>
      </c>
    </row>
    <row r="34" spans="1:6" ht="19.5" thickBot="1">
      <c r="A34" s="161" t="s">
        <v>20</v>
      </c>
      <c r="B34" s="148"/>
      <c r="C34" s="145">
        <f>SUM(C33)</f>
        <v>500</v>
      </c>
      <c r="D34" s="227">
        <f>SUM(D33)</f>
        <v>0</v>
      </c>
      <c r="E34" s="227">
        <f>310</f>
        <v>310</v>
      </c>
      <c r="F34" s="145">
        <f>E34-C34</f>
        <v>-190</v>
      </c>
    </row>
    <row r="35" spans="1:6" ht="18.75" customHeight="1" thickTop="1">
      <c r="A35" s="302"/>
      <c r="B35" s="302"/>
      <c r="C35" s="302"/>
      <c r="D35" s="302"/>
      <c r="E35" s="302"/>
      <c r="F35" s="302"/>
    </row>
    <row r="36" spans="1:6" ht="18.75" customHeight="1">
      <c r="A36" s="149"/>
      <c r="B36" s="149"/>
      <c r="C36" s="149"/>
      <c r="D36" s="149"/>
      <c r="E36" s="149"/>
      <c r="F36" s="149"/>
    </row>
    <row r="37" spans="1:6" ht="18.75" customHeight="1">
      <c r="A37" s="149"/>
      <c r="B37" s="149"/>
      <c r="C37" s="149"/>
      <c r="D37" s="149"/>
      <c r="E37" s="149"/>
      <c r="F37" s="149"/>
    </row>
    <row r="38" spans="1:6" ht="18.75" customHeight="1">
      <c r="A38" s="149"/>
      <c r="B38" s="149"/>
      <c r="C38" s="149"/>
      <c r="D38" s="149"/>
      <c r="E38" s="149"/>
      <c r="F38" s="149"/>
    </row>
    <row r="39" spans="1:6" ht="18.75" customHeight="1">
      <c r="A39" s="149"/>
      <c r="B39" s="149"/>
      <c r="C39" s="149"/>
      <c r="D39" s="149"/>
      <c r="E39" s="149"/>
      <c r="F39" s="149"/>
    </row>
    <row r="40" spans="1:6" ht="18.75" customHeight="1">
      <c r="A40" s="149"/>
      <c r="B40" s="149"/>
      <c r="C40" s="149"/>
      <c r="D40" s="149"/>
      <c r="E40" s="149"/>
      <c r="F40" s="149"/>
    </row>
    <row r="41" spans="1:6" ht="18.75" customHeight="1">
      <c r="A41" s="149"/>
      <c r="B41" s="149"/>
      <c r="C41" s="149"/>
      <c r="D41" s="149"/>
      <c r="E41" s="149"/>
      <c r="F41" s="149"/>
    </row>
    <row r="42" spans="1:6" ht="18.75" customHeight="1">
      <c r="A42" s="304" t="s">
        <v>55</v>
      </c>
      <c r="B42" s="304"/>
      <c r="C42" s="304"/>
      <c r="D42" s="304"/>
      <c r="E42" s="304"/>
      <c r="F42" s="304"/>
    </row>
    <row r="43" spans="1:6" ht="18.75">
      <c r="A43" s="298" t="s">
        <v>11</v>
      </c>
      <c r="B43" s="299"/>
      <c r="C43" s="300"/>
      <c r="D43" s="300"/>
      <c r="E43" s="300"/>
      <c r="F43" s="301"/>
    </row>
    <row r="44" spans="1:6" ht="18.75">
      <c r="A44" s="297" t="s">
        <v>25</v>
      </c>
      <c r="B44" s="296" t="s">
        <v>3</v>
      </c>
      <c r="C44" s="296" t="s">
        <v>23</v>
      </c>
      <c r="D44" s="296" t="s">
        <v>38</v>
      </c>
      <c r="E44" s="296" t="s">
        <v>39</v>
      </c>
      <c r="F44" s="141" t="s">
        <v>143</v>
      </c>
    </row>
    <row r="45" spans="1:6" ht="18.75">
      <c r="A45" s="297"/>
      <c r="B45" s="296"/>
      <c r="C45" s="296"/>
      <c r="D45" s="296"/>
      <c r="E45" s="296"/>
      <c r="F45" s="141" t="s">
        <v>23</v>
      </c>
    </row>
    <row r="46" spans="1:6" ht="18.75">
      <c r="A46" s="162" t="s">
        <v>86</v>
      </c>
      <c r="B46" s="146"/>
      <c r="C46" s="150"/>
      <c r="D46" s="150"/>
      <c r="E46" s="150"/>
      <c r="F46" s="150"/>
    </row>
    <row r="47" spans="1:6" ht="18.75">
      <c r="A47" s="156" t="s">
        <v>50</v>
      </c>
      <c r="B47" s="144">
        <v>421000</v>
      </c>
      <c r="C47" s="88"/>
      <c r="D47" s="88"/>
      <c r="E47" s="88"/>
      <c r="F47" s="88"/>
    </row>
    <row r="48" spans="1:6" ht="18.75">
      <c r="A48" s="157" t="s">
        <v>424</v>
      </c>
      <c r="B48" s="146">
        <v>421001</v>
      </c>
      <c r="C48" s="88">
        <v>124700</v>
      </c>
      <c r="D48" s="88">
        <v>0</v>
      </c>
      <c r="E48" s="88">
        <f>136284.04</f>
        <v>136284.04</v>
      </c>
      <c r="F48" s="88">
        <f>E48-C48</f>
        <v>11584.040000000008</v>
      </c>
    </row>
    <row r="49" spans="1:6" ht="18.75">
      <c r="A49" s="157" t="s">
        <v>423</v>
      </c>
      <c r="B49" s="143">
        <v>421002</v>
      </c>
      <c r="C49" s="88">
        <v>7000000</v>
      </c>
      <c r="D49" s="88">
        <v>1333663.38</v>
      </c>
      <c r="E49" s="88">
        <f>597106.1+629453.45+638781.97+606336.19+584750.76+1333663.38</f>
        <v>4390091.85</v>
      </c>
      <c r="F49" s="88">
        <f>E49-C49</f>
        <v>-2609908.1500000004</v>
      </c>
    </row>
    <row r="50" spans="1:6" ht="18.75">
      <c r="A50" s="157" t="s">
        <v>87</v>
      </c>
      <c r="B50" s="143">
        <v>421004</v>
      </c>
      <c r="C50" s="88">
        <v>2500000</v>
      </c>
      <c r="D50" s="88">
        <v>0</v>
      </c>
      <c r="E50" s="88">
        <f>243846.36+338154.18+202379.46+225319.59+273234.47+227056.21</f>
        <v>1509990.27</v>
      </c>
      <c r="F50" s="88">
        <f aca="true" t="shared" si="1" ref="F50:F56">E50-C50</f>
        <v>-990009.73</v>
      </c>
    </row>
    <row r="51" spans="1:6" ht="18.75">
      <c r="A51" s="157" t="s">
        <v>51</v>
      </c>
      <c r="B51" s="143">
        <v>421005</v>
      </c>
      <c r="C51" s="88">
        <v>125000</v>
      </c>
      <c r="D51" s="228">
        <v>0</v>
      </c>
      <c r="E51" s="88">
        <f>22287.59+29659.92+25468.34</f>
        <v>77415.84999999999</v>
      </c>
      <c r="F51" s="88">
        <f t="shared" si="1"/>
        <v>-47584.15000000001</v>
      </c>
    </row>
    <row r="52" spans="1:6" ht="18.75">
      <c r="A52" s="157" t="s">
        <v>52</v>
      </c>
      <c r="B52" s="143">
        <v>421006</v>
      </c>
      <c r="C52" s="88">
        <v>1320000</v>
      </c>
      <c r="D52" s="88">
        <v>0</v>
      </c>
      <c r="E52" s="88">
        <f>92743.06+94860.59+91845.59+132860.59+104144.31+123901.63</f>
        <v>640355.77</v>
      </c>
      <c r="F52" s="88">
        <f t="shared" si="1"/>
        <v>-679644.23</v>
      </c>
    </row>
    <row r="53" spans="1:6" ht="18.75">
      <c r="A53" s="157" t="s">
        <v>53</v>
      </c>
      <c r="B53" s="143">
        <v>421007</v>
      </c>
      <c r="C53" s="88">
        <v>1700000</v>
      </c>
      <c r="D53" s="88">
        <v>0</v>
      </c>
      <c r="E53" s="88">
        <f>137419.53+298319.8+109744.85+171951.36+211460.05+172375.68</f>
        <v>1101271.2699999998</v>
      </c>
      <c r="F53" s="88">
        <f t="shared" si="1"/>
        <v>-598728.7300000002</v>
      </c>
    </row>
    <row r="54" spans="1:6" ht="18.75">
      <c r="A54" s="157" t="s">
        <v>88</v>
      </c>
      <c r="B54" s="143">
        <v>421012</v>
      </c>
      <c r="C54" s="88">
        <v>15000</v>
      </c>
      <c r="D54" s="228">
        <v>0</v>
      </c>
      <c r="E54" s="88">
        <f>15352.9</f>
        <v>15352.9</v>
      </c>
      <c r="F54" s="88">
        <f t="shared" si="1"/>
        <v>352.89999999999964</v>
      </c>
    </row>
    <row r="55" spans="1:6" ht="18.75">
      <c r="A55" s="157" t="s">
        <v>89</v>
      </c>
      <c r="B55" s="143">
        <v>421013</v>
      </c>
      <c r="C55" s="88">
        <v>73000</v>
      </c>
      <c r="D55" s="228">
        <v>15531.48</v>
      </c>
      <c r="E55" s="88">
        <f>22045.19+18770.92+15531.48</f>
        <v>56347.59</v>
      </c>
      <c r="F55" s="88">
        <f t="shared" si="1"/>
        <v>-16652.410000000003</v>
      </c>
    </row>
    <row r="56" spans="1:6" ht="18.75">
      <c r="A56" s="157" t="s">
        <v>140</v>
      </c>
      <c r="B56" s="143">
        <v>421015</v>
      </c>
      <c r="C56" s="88">
        <v>350000</v>
      </c>
      <c r="D56" s="88">
        <v>45068</v>
      </c>
      <c r="E56" s="88">
        <f>20975+20836+31655+39983+37602+45068</f>
        <v>196119</v>
      </c>
      <c r="F56" s="88">
        <f t="shared" si="1"/>
        <v>-153881</v>
      </c>
    </row>
    <row r="57" spans="1:6" ht="19.5" thickBot="1">
      <c r="A57" s="158" t="s">
        <v>20</v>
      </c>
      <c r="B57" s="143"/>
      <c r="C57" s="145">
        <f>SUM(C48:C56)</f>
        <v>13207700</v>
      </c>
      <c r="D57" s="145">
        <f>SUM(D48:D56)</f>
        <v>1394262.8599999999</v>
      </c>
      <c r="E57" s="145">
        <f>SUM(E48:E56)</f>
        <v>8123228.539999999</v>
      </c>
      <c r="F57" s="145">
        <f>SUM(F48:F56)</f>
        <v>-5084471.460000001</v>
      </c>
    </row>
    <row r="58" spans="1:6" ht="19.5" thickTop="1">
      <c r="A58" s="163" t="s">
        <v>90</v>
      </c>
      <c r="B58" s="143"/>
      <c r="C58" s="147"/>
      <c r="D58" s="147"/>
      <c r="E58" s="147"/>
      <c r="F58" s="147"/>
    </row>
    <row r="59" spans="1:6" ht="18.75">
      <c r="A59" s="156" t="s">
        <v>353</v>
      </c>
      <c r="B59" s="151">
        <v>431000</v>
      </c>
      <c r="C59" s="88"/>
      <c r="D59" s="88"/>
      <c r="E59" s="88"/>
      <c r="F59" s="88"/>
    </row>
    <row r="60" spans="1:6" ht="18.75">
      <c r="A60" s="157" t="s">
        <v>91</v>
      </c>
      <c r="B60" s="143">
        <v>431002</v>
      </c>
      <c r="C60" s="88">
        <v>8299400</v>
      </c>
      <c r="D60" s="88">
        <v>892080</v>
      </c>
      <c r="E60" s="88">
        <f>902080+2834237+943080+1620321+892080</f>
        <v>7191798</v>
      </c>
      <c r="F60" s="88">
        <f>E60-C60</f>
        <v>-1107602</v>
      </c>
    </row>
    <row r="61" spans="1:6" ht="18.75">
      <c r="A61" s="157" t="s">
        <v>92</v>
      </c>
      <c r="B61" s="143"/>
      <c r="C61" s="88"/>
      <c r="D61" s="88"/>
      <c r="E61" s="88"/>
      <c r="F61" s="88"/>
    </row>
    <row r="62" spans="1:6" ht="19.5" thickBot="1">
      <c r="A62" s="158" t="s">
        <v>20</v>
      </c>
      <c r="B62" s="143"/>
      <c r="C62" s="145">
        <f>SUM(C60)</f>
        <v>8299400</v>
      </c>
      <c r="D62" s="145">
        <f>SUM(D60:D61)</f>
        <v>892080</v>
      </c>
      <c r="E62" s="145">
        <f>SUM(E60:E61)</f>
        <v>7191798</v>
      </c>
      <c r="F62" s="145">
        <f>SUM(F60:F61)</f>
        <v>-1107602</v>
      </c>
    </row>
    <row r="63" spans="1:6" ht="19.5" thickTop="1">
      <c r="A63" s="158" t="s">
        <v>54</v>
      </c>
      <c r="B63" s="143"/>
      <c r="C63" s="152">
        <f>C12+C23+C26+C31+C34+C57+C62</f>
        <v>22422850</v>
      </c>
      <c r="D63" s="152">
        <f>SUM(D12,D23,D26,D31,D57,D62,D34)</f>
        <v>2340800.7399999998</v>
      </c>
      <c r="E63" s="152">
        <f>SUM(E12,E23,E26,E31,E57,E62,E34)</f>
        <v>16209937.11</v>
      </c>
      <c r="F63" s="152">
        <f>E63-C63</f>
        <v>-6212912.890000001</v>
      </c>
    </row>
    <row r="64" spans="1:6" ht="18.75">
      <c r="A64" s="163" t="s">
        <v>462</v>
      </c>
      <c r="B64" s="143">
        <v>440000</v>
      </c>
      <c r="C64" s="147"/>
      <c r="D64" s="147"/>
      <c r="E64" s="147"/>
      <c r="F64" s="147"/>
    </row>
    <row r="65" spans="1:6" ht="18.75">
      <c r="A65" s="156" t="s">
        <v>463</v>
      </c>
      <c r="B65" s="151">
        <v>441000</v>
      </c>
      <c r="C65" s="88"/>
      <c r="D65" s="88"/>
      <c r="E65" s="88"/>
      <c r="F65" s="88"/>
    </row>
    <row r="66" spans="1:6" ht="18.75">
      <c r="A66" s="157" t="s">
        <v>464</v>
      </c>
      <c r="B66" s="143">
        <v>441001</v>
      </c>
      <c r="C66" s="88"/>
      <c r="D66" s="88">
        <v>85305</v>
      </c>
      <c r="E66" s="88">
        <f>62685+20895+41790+85305</f>
        <v>210675</v>
      </c>
      <c r="F66" s="88">
        <f>62685+20895+41790+85305</f>
        <v>210675</v>
      </c>
    </row>
    <row r="67" spans="1:6" ht="18.75">
      <c r="A67" s="157" t="s">
        <v>465</v>
      </c>
      <c r="B67" s="143">
        <v>441001</v>
      </c>
      <c r="C67" s="88"/>
      <c r="D67" s="88">
        <v>71400</v>
      </c>
      <c r="E67" s="88">
        <f>71400+71400</f>
        <v>142800</v>
      </c>
      <c r="F67" s="88">
        <f>71400+71400</f>
        <v>142800</v>
      </c>
    </row>
    <row r="68" spans="1:6" ht="18.75">
      <c r="A68" s="157" t="s">
        <v>466</v>
      </c>
      <c r="B68" s="143"/>
      <c r="C68" s="88"/>
      <c r="D68" s="88"/>
      <c r="E68" s="88"/>
      <c r="F68" s="88"/>
    </row>
    <row r="69" spans="1:6" ht="18.75">
      <c r="A69" s="157" t="s">
        <v>467</v>
      </c>
      <c r="B69" s="143">
        <v>441002</v>
      </c>
      <c r="C69" s="88"/>
      <c r="D69" s="88">
        <v>0</v>
      </c>
      <c r="E69" s="88">
        <f>291000+329800+465600</f>
        <v>1086400</v>
      </c>
      <c r="F69" s="88">
        <f>291000+329800+465600</f>
        <v>1086400</v>
      </c>
    </row>
    <row r="70" spans="1:6" ht="18.75">
      <c r="A70" s="157" t="s">
        <v>468</v>
      </c>
      <c r="B70" s="143">
        <v>441003</v>
      </c>
      <c r="C70" s="88"/>
      <c r="D70" s="88">
        <v>0</v>
      </c>
      <c r="E70" s="88">
        <f>1049248</f>
        <v>1049248</v>
      </c>
      <c r="F70" s="88">
        <f>1049248</f>
        <v>1049248</v>
      </c>
    </row>
    <row r="71" spans="1:6" ht="18.75">
      <c r="A71" s="157" t="s">
        <v>469</v>
      </c>
      <c r="B71" s="143">
        <v>441004</v>
      </c>
      <c r="C71" s="88"/>
      <c r="D71" s="88">
        <v>0</v>
      </c>
      <c r="E71" s="88">
        <f>1770600+590200+590200+1180400</f>
        <v>4131400</v>
      </c>
      <c r="F71" s="88">
        <f>1770600+590200+590200+1180400</f>
        <v>4131400</v>
      </c>
    </row>
    <row r="72" spans="1:6" ht="18.75">
      <c r="A72" s="157" t="s">
        <v>517</v>
      </c>
      <c r="B72" s="143">
        <v>441005</v>
      </c>
      <c r="C72" s="88"/>
      <c r="D72" s="88">
        <v>0</v>
      </c>
      <c r="E72" s="88">
        <f>35000</f>
        <v>35000</v>
      </c>
      <c r="F72" s="88">
        <f>35000</f>
        <v>35000</v>
      </c>
    </row>
    <row r="73" spans="1:6" ht="18.75">
      <c r="A73" s="157" t="s">
        <v>518</v>
      </c>
      <c r="B73" s="143"/>
      <c r="C73" s="88"/>
      <c r="D73" s="88"/>
      <c r="E73" s="88"/>
      <c r="F73" s="88"/>
    </row>
    <row r="74" spans="1:6" ht="18.75">
      <c r="A74" s="157" t="s">
        <v>519</v>
      </c>
      <c r="B74" s="143">
        <v>441005</v>
      </c>
      <c r="C74" s="88"/>
      <c r="D74" s="88">
        <v>0</v>
      </c>
      <c r="E74" s="88">
        <f>25000</f>
        <v>25000</v>
      </c>
      <c r="F74" s="88">
        <f>25000</f>
        <v>25000</v>
      </c>
    </row>
    <row r="75" spans="1:6" ht="18.75">
      <c r="A75" s="157" t="s">
        <v>520</v>
      </c>
      <c r="B75" s="143"/>
      <c r="C75" s="88"/>
      <c r="D75" s="88"/>
      <c r="E75" s="88"/>
      <c r="F75" s="88"/>
    </row>
    <row r="76" spans="1:6" ht="18.75">
      <c r="A76" s="157"/>
      <c r="B76" s="143"/>
      <c r="C76" s="88"/>
      <c r="D76" s="88"/>
      <c r="E76" s="88"/>
      <c r="F76" s="88"/>
    </row>
    <row r="77" spans="1:6" ht="19.5" thickBot="1">
      <c r="A77" s="158" t="s">
        <v>20</v>
      </c>
      <c r="B77" s="143"/>
      <c r="C77" s="145">
        <f>SUM(C66)</f>
        <v>0</v>
      </c>
      <c r="D77" s="145">
        <f>SUM(D66:D74)</f>
        <v>156705</v>
      </c>
      <c r="E77" s="145">
        <f>SUM(E66:E74)</f>
        <v>6680523</v>
      </c>
      <c r="F77" s="145">
        <f>SUM(F66:F74)</f>
        <v>6680523</v>
      </c>
    </row>
    <row r="78" ht="18" thickTop="1"/>
  </sheetData>
  <sheetProtection/>
  <mergeCells count="17"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  <mergeCell ref="D5:D6"/>
    <mergeCell ref="E5:E6"/>
    <mergeCell ref="A5:A6"/>
    <mergeCell ref="A43:F43"/>
    <mergeCell ref="A35:F35"/>
    <mergeCell ref="B5:B6"/>
    <mergeCell ref="C5:C6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4">
      <selection activeCell="A6" sqref="A6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3" t="s">
        <v>60</v>
      </c>
      <c r="B1" s="273"/>
      <c r="C1" s="273"/>
    </row>
    <row r="2" spans="1:3" ht="18" customHeight="1">
      <c r="A2" s="273" t="s">
        <v>61</v>
      </c>
      <c r="B2" s="273"/>
      <c r="C2" s="273"/>
    </row>
    <row r="3" spans="1:3" ht="18" customHeight="1">
      <c r="A3" s="305" t="s">
        <v>533</v>
      </c>
      <c r="B3" s="305"/>
      <c r="C3" s="305"/>
    </row>
    <row r="4" spans="1:3" ht="18" customHeight="1">
      <c r="A4" s="53" t="s">
        <v>25</v>
      </c>
      <c r="B4" s="53" t="s">
        <v>28</v>
      </c>
      <c r="C4" s="53" t="s">
        <v>62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129</v>
      </c>
      <c r="B6" s="55">
        <v>1448720.74</v>
      </c>
      <c r="C6" s="55">
        <f>1280628.02+1390022.29+485925.73+2274282.14+1291128.94+1790511.25+1448720.74</f>
        <v>9961219.11</v>
      </c>
    </row>
    <row r="7" spans="1:3" ht="18" customHeight="1">
      <c r="A7" s="56" t="s">
        <v>478</v>
      </c>
      <c r="B7" s="55">
        <v>892080</v>
      </c>
      <c r="C7" s="55">
        <f>902080+2834237+1620321+892080</f>
        <v>6248718</v>
      </c>
    </row>
    <row r="8" spans="1:3" ht="18" customHeight="1">
      <c r="A8" s="56" t="s">
        <v>479</v>
      </c>
      <c r="B8" s="55">
        <v>156705</v>
      </c>
      <c r="C8" s="55">
        <f>3244933+920000+590200+20895+1747790+156705</f>
        <v>6680523</v>
      </c>
    </row>
    <row r="9" spans="1:3" ht="18" customHeight="1">
      <c r="A9" s="56" t="s">
        <v>63</v>
      </c>
      <c r="B9" s="55">
        <v>56478.57</v>
      </c>
      <c r="C9" s="55">
        <f>329439.05+116317.61+21846.58+93486.71+36288.35+45772.03+56478.57</f>
        <v>699628.8999999999</v>
      </c>
    </row>
    <row r="10" spans="1:3" ht="18" customHeight="1">
      <c r="A10" s="56" t="s">
        <v>445</v>
      </c>
      <c r="B10" s="55">
        <v>32000</v>
      </c>
      <c r="C10" s="55">
        <f>26532.93+1672471.81+155075.65+181077.43+234784.98+1148544.01+32000</f>
        <v>3450486.8099999996</v>
      </c>
    </row>
    <row r="11" spans="1:3" ht="18" customHeight="1">
      <c r="A11" s="56" t="s">
        <v>507</v>
      </c>
      <c r="B11" s="55">
        <v>2458.2</v>
      </c>
      <c r="C11" s="55">
        <f>28000+23544+2458.2</f>
        <v>54002.2</v>
      </c>
    </row>
    <row r="12" spans="1:3" ht="18" customHeight="1" thickBot="1">
      <c r="A12" s="57" t="s">
        <v>20</v>
      </c>
      <c r="B12" s="59">
        <f>SUM(B6:B11)</f>
        <v>2588442.5100000002</v>
      </c>
      <c r="C12" s="59">
        <f>SUM(C6:C11)</f>
        <v>27094578.019999996</v>
      </c>
    </row>
    <row r="13" spans="1:3" ht="18" customHeight="1" thickTop="1">
      <c r="A13" s="61" t="s">
        <v>34</v>
      </c>
      <c r="B13" s="89"/>
      <c r="C13" s="55"/>
    </row>
    <row r="14" spans="1:3" ht="18" customHeight="1">
      <c r="A14" s="56" t="s">
        <v>446</v>
      </c>
      <c r="B14" s="44">
        <v>1258767.29</v>
      </c>
      <c r="C14" s="55">
        <f>1046430.57+1370346.75+1090944.3+1397657.56+1649660+1289317.46+1258767.29</f>
        <v>9103123.93</v>
      </c>
    </row>
    <row r="15" spans="1:3" ht="18" customHeight="1">
      <c r="A15" s="56" t="s">
        <v>447</v>
      </c>
      <c r="B15" s="44">
        <v>32000</v>
      </c>
      <c r="C15" s="55">
        <f>773300+1002400+97000+184000+669258+773100+32000</f>
        <v>3531058</v>
      </c>
    </row>
    <row r="16" spans="1:3" ht="18" customHeight="1">
      <c r="A16" s="56" t="s">
        <v>64</v>
      </c>
      <c r="B16" s="55">
        <v>55857.15</v>
      </c>
      <c r="C16" s="55">
        <f>41839.36+323778.5+863259.9+22706.89+75710.85+71461.99+55857.15</f>
        <v>1454614.64</v>
      </c>
    </row>
    <row r="17" spans="1:3" ht="18" customHeight="1">
      <c r="A17" s="56" t="s">
        <v>480</v>
      </c>
      <c r="B17" s="55">
        <v>755065</v>
      </c>
      <c r="C17" s="55">
        <f>1387600+690800+689400+810600+983035+755065</f>
        <v>5316500</v>
      </c>
    </row>
    <row r="18" spans="1:3" ht="18" customHeight="1">
      <c r="A18" s="56" t="s">
        <v>495</v>
      </c>
      <c r="B18" s="55">
        <v>118000</v>
      </c>
      <c r="C18" s="55">
        <f>99180+2342000+369000+118000</f>
        <v>2928180</v>
      </c>
    </row>
    <row r="19" spans="1:3" ht="18" customHeight="1">
      <c r="A19" s="56" t="s">
        <v>130</v>
      </c>
      <c r="B19" s="55">
        <v>0</v>
      </c>
      <c r="C19" s="55">
        <f>1426375.52+340000</f>
        <v>1766375.52</v>
      </c>
    </row>
    <row r="20" spans="1:3" ht="18" customHeight="1">
      <c r="A20" s="56" t="s">
        <v>508</v>
      </c>
      <c r="B20" s="55">
        <v>2458.2</v>
      </c>
      <c r="C20" s="55">
        <f>28000+23544+2458.2</f>
        <v>54002.2</v>
      </c>
    </row>
    <row r="21" spans="1:3" ht="18" customHeight="1" thickBot="1">
      <c r="A21" s="57" t="s">
        <v>20</v>
      </c>
      <c r="B21" s="59">
        <f>SUM(B14:B20)</f>
        <v>2222147.64</v>
      </c>
      <c r="C21" s="59">
        <f>SUM(C14:C20)</f>
        <v>24153854.29</v>
      </c>
    </row>
    <row r="22" spans="1:3" ht="18" customHeight="1" thickBot="1" thickTop="1">
      <c r="A22" s="57" t="s">
        <v>65</v>
      </c>
      <c r="B22" s="59">
        <f>B12-B21</f>
        <v>366294.8700000001</v>
      </c>
      <c r="C22" s="59">
        <f>C12-C21</f>
        <v>2940723.7299999967</v>
      </c>
    </row>
    <row r="23" spans="1:3" ht="18" customHeight="1" thickTop="1">
      <c r="A23" s="253"/>
      <c r="B23" s="254"/>
      <c r="C23" s="254"/>
    </row>
    <row r="24" spans="1:5" ht="18" customHeight="1">
      <c r="A24" s="6" t="s">
        <v>12</v>
      </c>
      <c r="B24" s="16"/>
      <c r="C24" s="22"/>
      <c r="D24" s="22"/>
      <c r="E24" s="22"/>
    </row>
    <row r="25" spans="1:5" ht="18" customHeight="1">
      <c r="A25" s="48" t="s">
        <v>13</v>
      </c>
      <c r="B25" s="16"/>
      <c r="C25" s="22"/>
      <c r="D25" s="22"/>
      <c r="E25" s="21"/>
    </row>
    <row r="26" spans="1:5" ht="18" customHeight="1">
      <c r="A26" s="48"/>
      <c r="B26" s="16"/>
      <c r="C26" s="22"/>
      <c r="D26" s="22"/>
      <c r="E26" s="21"/>
    </row>
    <row r="27" spans="1:5" ht="18" customHeight="1">
      <c r="A27" s="289" t="s">
        <v>66</v>
      </c>
      <c r="B27" s="289"/>
      <c r="C27" s="289"/>
      <c r="D27" s="17"/>
      <c r="E27" s="17"/>
    </row>
    <row r="28" spans="1:5" ht="18" customHeight="1">
      <c r="A28" s="289" t="s">
        <v>96</v>
      </c>
      <c r="B28" s="289"/>
      <c r="C28" s="289"/>
      <c r="D28" s="17"/>
      <c r="E28" s="17"/>
    </row>
    <row r="29" spans="1:5" ht="18" customHeight="1">
      <c r="A29" s="289" t="s">
        <v>14</v>
      </c>
      <c r="B29" s="289"/>
      <c r="C29" s="289"/>
      <c r="D29" s="17"/>
      <c r="E29" s="17"/>
    </row>
    <row r="30" spans="1:5" ht="18" customHeight="1">
      <c r="A30" s="6"/>
      <c r="B30" s="16"/>
      <c r="C30" s="22"/>
      <c r="D30" s="22"/>
      <c r="E30" s="6"/>
    </row>
    <row r="31" spans="1:5" s="1" customFormat="1" ht="18" customHeight="1">
      <c r="A31" s="289" t="s">
        <v>131</v>
      </c>
      <c r="B31" s="289"/>
      <c r="C31" s="289"/>
      <c r="D31" s="17"/>
      <c r="E31" s="17"/>
    </row>
    <row r="32" spans="1:5" s="1" customFormat="1" ht="18" customHeight="1">
      <c r="A32" s="289" t="s">
        <v>15</v>
      </c>
      <c r="B32" s="289"/>
      <c r="C32" s="289"/>
      <c r="D32" s="17"/>
      <c r="E32" s="17"/>
    </row>
    <row r="33" spans="1:5" s="1" customFormat="1" ht="18" customHeight="1">
      <c r="A33" s="288">
        <v>240451</v>
      </c>
      <c r="B33" s="288"/>
      <c r="C33" s="288"/>
      <c r="D33" s="17"/>
      <c r="E33" s="17"/>
    </row>
  </sheetData>
  <sheetProtection/>
  <mergeCells count="9">
    <mergeCell ref="A33:C33"/>
    <mergeCell ref="A28:C28"/>
    <mergeCell ref="A29:C29"/>
    <mergeCell ref="A31:C31"/>
    <mergeCell ref="A32:C32"/>
    <mergeCell ref="A1:C1"/>
    <mergeCell ref="A2:C2"/>
    <mergeCell ref="A3:C3"/>
    <mergeCell ref="A27:C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G1" sqref="G1:J2"/>
    </sheetView>
  </sheetViews>
  <sheetFormatPr defaultColWidth="9.140625" defaultRowHeight="12.75"/>
  <cols>
    <col min="1" max="1" width="11.421875" style="97" customWidth="1"/>
    <col min="2" max="2" width="7.7109375" style="58" customWidth="1"/>
    <col min="3" max="3" width="9.7109375" style="97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0"/>
      <c r="B1" s="63"/>
      <c r="C1" s="90"/>
      <c r="D1" s="63"/>
      <c r="E1" s="63"/>
      <c r="F1" s="63"/>
      <c r="G1" s="98"/>
      <c r="H1" s="63"/>
      <c r="I1" s="63"/>
      <c r="J1" s="64"/>
    </row>
    <row r="2" spans="1:10" ht="23.25">
      <c r="A2" s="306" t="s">
        <v>67</v>
      </c>
      <c r="B2" s="306"/>
      <c r="C2" s="306"/>
      <c r="D2" s="306"/>
      <c r="E2" s="306"/>
      <c r="F2" s="306"/>
      <c r="G2" s="314" t="s">
        <v>68</v>
      </c>
      <c r="H2" s="306"/>
      <c r="I2" s="306"/>
      <c r="J2" s="306"/>
    </row>
    <row r="3" spans="1:10" ht="23.25">
      <c r="A3" s="306" t="s">
        <v>69</v>
      </c>
      <c r="B3" s="306"/>
      <c r="C3" s="306"/>
      <c r="D3" s="306"/>
      <c r="E3" s="306"/>
      <c r="F3" s="306"/>
      <c r="G3" s="314" t="s">
        <v>94</v>
      </c>
      <c r="H3" s="306"/>
      <c r="I3" s="306"/>
      <c r="J3" s="306"/>
    </row>
    <row r="4" spans="1:10" ht="23.25">
      <c r="A4" s="91"/>
      <c r="B4" s="65"/>
      <c r="C4" s="91"/>
      <c r="D4" s="65"/>
      <c r="E4" s="65"/>
      <c r="F4" s="65"/>
      <c r="G4" s="99"/>
      <c r="H4" s="65"/>
      <c r="I4" s="65"/>
      <c r="J4" s="65"/>
    </row>
    <row r="5" spans="1:10" ht="23.25">
      <c r="A5" s="313" t="s">
        <v>535</v>
      </c>
      <c r="B5" s="313"/>
      <c r="C5" s="313"/>
      <c r="D5" s="313"/>
      <c r="E5" s="313"/>
      <c r="F5" s="315"/>
      <c r="G5" s="66"/>
      <c r="H5" s="66"/>
      <c r="I5" s="66"/>
      <c r="J5" s="67">
        <v>14736411.03</v>
      </c>
    </row>
    <row r="6" spans="1:10" ht="23.25">
      <c r="A6" s="92"/>
      <c r="B6" s="68"/>
      <c r="C6" s="92"/>
      <c r="D6" s="68"/>
      <c r="E6" s="68"/>
      <c r="F6" s="69"/>
      <c r="G6" s="66"/>
      <c r="H6" s="66"/>
      <c r="I6" s="66"/>
      <c r="J6" s="67"/>
    </row>
    <row r="7" spans="1:10" ht="23.25">
      <c r="A7" s="92"/>
      <c r="B7" s="68"/>
      <c r="C7" s="92"/>
      <c r="D7" s="68"/>
      <c r="E7" s="68"/>
      <c r="F7" s="69"/>
      <c r="G7" s="66"/>
      <c r="H7" s="66"/>
      <c r="I7" s="66"/>
      <c r="J7" s="67"/>
    </row>
    <row r="8" spans="1:10" ht="23.25">
      <c r="A8" s="309" t="s">
        <v>70</v>
      </c>
      <c r="B8" s="309"/>
      <c r="C8" s="309"/>
      <c r="D8" s="309"/>
      <c r="E8" s="309"/>
      <c r="F8" s="69"/>
      <c r="G8" s="66"/>
      <c r="H8" s="66"/>
      <c r="I8" s="66"/>
      <c r="J8" s="67"/>
    </row>
    <row r="9" spans="1:10" ht="23.25">
      <c r="A9" s="94" t="s">
        <v>71</v>
      </c>
      <c r="B9" s="70"/>
      <c r="C9" s="94" t="s">
        <v>72</v>
      </c>
      <c r="D9" s="70"/>
      <c r="E9" s="70"/>
      <c r="F9" s="71" t="s">
        <v>73</v>
      </c>
      <c r="G9" s="66"/>
      <c r="H9" s="66"/>
      <c r="I9" s="66"/>
      <c r="J9" s="67"/>
    </row>
    <row r="10" spans="1:10" ht="23.25">
      <c r="A10" s="94" t="s">
        <v>536</v>
      </c>
      <c r="B10" s="70"/>
      <c r="C10" s="94" t="s">
        <v>537</v>
      </c>
      <c r="D10" s="70"/>
      <c r="E10" s="70"/>
      <c r="F10" s="71">
        <v>3000</v>
      </c>
      <c r="G10" s="66"/>
      <c r="H10" s="66"/>
      <c r="I10" s="66"/>
      <c r="J10" s="67"/>
    </row>
    <row r="11" spans="1:10" ht="23.25">
      <c r="A11" s="94"/>
      <c r="B11" s="70"/>
      <c r="C11" s="94" t="s">
        <v>538</v>
      </c>
      <c r="D11" s="70"/>
      <c r="E11" s="70"/>
      <c r="F11" s="71">
        <v>6893.15</v>
      </c>
      <c r="G11" s="66"/>
      <c r="H11" s="66"/>
      <c r="I11" s="66"/>
      <c r="J11" s="67">
        <v>9893.15</v>
      </c>
    </row>
    <row r="12" spans="1:10" ht="23.25">
      <c r="A12" s="94"/>
      <c r="B12" s="70"/>
      <c r="C12" s="94"/>
      <c r="D12" s="70"/>
      <c r="E12" s="70"/>
      <c r="F12" s="72"/>
      <c r="G12" s="66"/>
      <c r="H12" s="66"/>
      <c r="I12" s="66"/>
      <c r="J12" s="73"/>
    </row>
    <row r="13" spans="1:10" ht="23.25">
      <c r="A13" s="94"/>
      <c r="B13" s="70"/>
      <c r="C13" s="94"/>
      <c r="D13" s="70"/>
      <c r="E13" s="70"/>
      <c r="F13" s="72"/>
      <c r="G13" s="66"/>
      <c r="H13" s="66"/>
      <c r="I13" s="66"/>
      <c r="J13" s="72"/>
    </row>
    <row r="14" spans="1:10" ht="23.25">
      <c r="A14" s="94"/>
      <c r="B14" s="70"/>
      <c r="C14" s="94"/>
      <c r="D14" s="70"/>
      <c r="E14" s="70"/>
      <c r="F14" s="72"/>
      <c r="G14" s="66"/>
      <c r="H14" s="66"/>
      <c r="I14" s="66"/>
      <c r="J14" s="67"/>
    </row>
    <row r="15" spans="1:10" ht="23.25">
      <c r="A15" s="94"/>
      <c r="B15" s="70"/>
      <c r="C15" s="94"/>
      <c r="D15" s="70"/>
      <c r="E15" s="70"/>
      <c r="F15" s="72"/>
      <c r="G15" s="66"/>
      <c r="H15" s="66"/>
      <c r="I15" s="66"/>
      <c r="J15" s="67"/>
    </row>
    <row r="16" spans="1:10" ht="23.25">
      <c r="A16" s="94"/>
      <c r="B16" s="70"/>
      <c r="C16" s="94"/>
      <c r="D16" s="70"/>
      <c r="E16" s="70"/>
      <c r="F16" s="72"/>
      <c r="G16" s="66"/>
      <c r="H16" s="66"/>
      <c r="I16" s="66"/>
      <c r="J16" s="67"/>
    </row>
    <row r="17" spans="1:10" ht="23.25">
      <c r="A17" s="94"/>
      <c r="B17" s="70"/>
      <c r="C17" s="94"/>
      <c r="D17" s="70"/>
      <c r="E17" s="70"/>
      <c r="F17" s="72"/>
      <c r="G17" s="66"/>
      <c r="H17" s="66"/>
      <c r="I17" s="66"/>
      <c r="J17" s="67"/>
    </row>
    <row r="18" spans="1:10" ht="23.25">
      <c r="A18" s="94"/>
      <c r="B18" s="70"/>
      <c r="C18" s="94"/>
      <c r="D18" s="70"/>
      <c r="E18" s="70"/>
      <c r="F18" s="72"/>
      <c r="G18" s="66"/>
      <c r="H18" s="66"/>
      <c r="I18" s="66"/>
      <c r="J18" s="67"/>
    </row>
    <row r="19" spans="1:10" ht="23.25">
      <c r="A19" s="93"/>
      <c r="B19" s="70"/>
      <c r="C19" s="94"/>
      <c r="D19" s="70"/>
      <c r="E19" s="70"/>
      <c r="F19" s="72"/>
      <c r="G19" s="66"/>
      <c r="H19" s="66"/>
      <c r="I19" s="66"/>
      <c r="J19" s="229"/>
    </row>
    <row r="20" spans="1:10" ht="23.25">
      <c r="A20" s="70"/>
      <c r="B20" s="70"/>
      <c r="C20" s="94"/>
      <c r="D20" s="70"/>
      <c r="E20" s="70"/>
      <c r="F20" s="229"/>
      <c r="G20" s="66"/>
      <c r="H20" s="66"/>
      <c r="I20" s="66"/>
      <c r="J20" s="229"/>
    </row>
    <row r="21" spans="1:10" ht="23.25">
      <c r="A21" s="70"/>
      <c r="B21" s="70"/>
      <c r="C21" s="94"/>
      <c r="D21" s="70"/>
      <c r="E21" s="70"/>
      <c r="F21" s="229"/>
      <c r="G21" s="66"/>
      <c r="H21" s="66"/>
      <c r="I21" s="66"/>
      <c r="J21" s="67"/>
    </row>
    <row r="22" spans="1:10" ht="23.25">
      <c r="A22" s="93"/>
      <c r="B22" s="70"/>
      <c r="C22" s="94"/>
      <c r="D22" s="70"/>
      <c r="E22" s="70"/>
      <c r="F22" s="72"/>
      <c r="G22" s="66"/>
      <c r="H22" s="66"/>
      <c r="I22" s="66"/>
      <c r="J22" s="67"/>
    </row>
    <row r="23" spans="1:10" ht="23.25">
      <c r="A23" s="93"/>
      <c r="B23" s="70"/>
      <c r="C23" s="94"/>
      <c r="D23" s="70"/>
      <c r="E23" s="70"/>
      <c r="F23" s="72"/>
      <c r="G23" s="66"/>
      <c r="H23" s="66"/>
      <c r="I23" s="66"/>
      <c r="J23" s="67"/>
    </row>
    <row r="24" spans="1:10" ht="23.25">
      <c r="A24" s="93"/>
      <c r="B24" s="70"/>
      <c r="C24" s="94"/>
      <c r="D24" s="70"/>
      <c r="E24" s="70"/>
      <c r="F24" s="72"/>
      <c r="G24" s="66"/>
      <c r="H24" s="66"/>
      <c r="I24" s="66"/>
      <c r="J24" s="67"/>
    </row>
    <row r="25" spans="1:10" ht="23.25">
      <c r="A25" s="316" t="s">
        <v>539</v>
      </c>
      <c r="B25" s="316"/>
      <c r="C25" s="316"/>
      <c r="D25" s="316"/>
      <c r="E25" s="316"/>
      <c r="F25" s="317"/>
      <c r="G25" s="66"/>
      <c r="H25" s="66"/>
      <c r="I25" s="66"/>
      <c r="J25" s="67">
        <f>SUM(J5-J11)</f>
        <v>14726517.879999999</v>
      </c>
    </row>
    <row r="26" spans="1:10" ht="23.25">
      <c r="A26" s="93"/>
      <c r="B26" s="70"/>
      <c r="C26" s="93"/>
      <c r="D26" s="70"/>
      <c r="E26" s="70"/>
      <c r="F26" s="74"/>
      <c r="G26" s="66"/>
      <c r="H26" s="66"/>
      <c r="I26" s="66"/>
      <c r="J26" s="67"/>
    </row>
    <row r="27" spans="1:10" ht="23.25">
      <c r="A27" s="95" t="s">
        <v>74</v>
      </c>
      <c r="B27" s="75"/>
      <c r="C27" s="95"/>
      <c r="D27" s="75"/>
      <c r="E27" s="75"/>
      <c r="F27" s="76"/>
      <c r="G27" s="312" t="s">
        <v>75</v>
      </c>
      <c r="H27" s="313"/>
      <c r="I27" s="313"/>
      <c r="J27" s="313"/>
    </row>
    <row r="28" spans="1:10" ht="23.25">
      <c r="A28" s="92"/>
      <c r="B28" s="68"/>
      <c r="C28" s="92"/>
      <c r="D28" s="68"/>
      <c r="E28" s="68"/>
      <c r="F28" s="72"/>
      <c r="G28" s="68"/>
      <c r="H28" s="68"/>
      <c r="I28" s="68"/>
      <c r="J28" s="68"/>
    </row>
    <row r="29" spans="1:10" ht="23.25">
      <c r="A29" s="310" t="s">
        <v>540</v>
      </c>
      <c r="B29" s="310"/>
      <c r="C29" s="310"/>
      <c r="D29" s="310"/>
      <c r="E29" s="310"/>
      <c r="F29" s="311"/>
      <c r="G29" s="307" t="s">
        <v>541</v>
      </c>
      <c r="H29" s="308"/>
      <c r="I29" s="308"/>
      <c r="J29" s="308"/>
    </row>
    <row r="30" spans="1:10" ht="23.25">
      <c r="A30" s="306" t="s">
        <v>521</v>
      </c>
      <c r="B30" s="306"/>
      <c r="C30" s="306"/>
      <c r="D30" s="306"/>
      <c r="E30" s="68"/>
      <c r="F30" s="72"/>
      <c r="G30" s="307" t="s">
        <v>93</v>
      </c>
      <c r="H30" s="308"/>
      <c r="I30" s="308"/>
      <c r="J30" s="308"/>
    </row>
    <row r="31" spans="1:10" ht="23.25">
      <c r="A31" s="96"/>
      <c r="B31" s="77"/>
      <c r="C31" s="96"/>
      <c r="D31" s="77"/>
      <c r="E31" s="77"/>
      <c r="F31" s="74"/>
      <c r="G31" s="78"/>
      <c r="H31" s="78"/>
      <c r="I31" s="78"/>
      <c r="J31" s="79"/>
    </row>
    <row r="34" ht="21.75" customHeight="1"/>
    <row r="35" ht="21.75" customHeight="1"/>
  </sheetData>
  <sheetProtection/>
  <mergeCells count="12">
    <mergeCell ref="G2:J2"/>
    <mergeCell ref="A3:F3"/>
    <mergeCell ref="G3:J3"/>
    <mergeCell ref="A5:F5"/>
    <mergeCell ref="A2:F2"/>
    <mergeCell ref="A25:F25"/>
    <mergeCell ref="A30:D30"/>
    <mergeCell ref="G30:J30"/>
    <mergeCell ref="A8:E8"/>
    <mergeCell ref="A29:F29"/>
    <mergeCell ref="G29:J29"/>
    <mergeCell ref="G27:J27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2015-05-08T03:17:43Z</cp:lastPrinted>
  <dcterms:created xsi:type="dcterms:W3CDTF">1996-10-14T23:33:28Z</dcterms:created>
  <dcterms:modified xsi:type="dcterms:W3CDTF">2015-05-08T03:18:03Z</dcterms:modified>
  <cp:category/>
  <cp:version/>
  <cp:contentType/>
  <cp:contentStatus/>
</cp:coreProperties>
</file>